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TdnOs0r9CviZxrWHDQLAxjhf2QueaAnTaS0+LtJCLNg86yU2hl5tpxAhRDKK+YJFHxagMhHSNnrmb0VH2rEo1Q==" workbookSaltValue="eFuXucjWCq3DVnduDtdMm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A31" i="8"/>
  <c r="EP31" i="8"/>
  <c r="ER31" i="13"/>
  <c r="EP31" i="19"/>
  <c r="BG25" i="11"/>
  <c r="BF18" i="11"/>
  <c r="AZ19" i="11"/>
  <c r="S14" i="16"/>
  <c r="P14" i="16"/>
  <c r="F13" i="16"/>
  <c r="N30" i="16"/>
  <c r="H14" i="21"/>
  <c r="K26" i="2"/>
  <c r="K23" i="2"/>
  <c r="N26" i="2"/>
  <c r="M14" i="2"/>
  <c r="M23" i="2"/>
  <c r="N14" i="2"/>
  <c r="N23" i="2"/>
  <c r="K30" i="2"/>
  <c r="F30" i="17"/>
  <c r="F14" i="7"/>
  <c r="BK21" i="11"/>
  <c r="V13" i="11"/>
  <c r="AP22" i="20"/>
  <c r="V20" i="11"/>
  <c r="BL21" i="11"/>
  <c r="BK18" i="11"/>
  <c r="T18" i="16"/>
  <c r="BL29" i="11"/>
  <c r="T16" i="16"/>
  <c r="BW20" i="20"/>
  <c r="BV19" i="16"/>
  <c r="BV18" i="16"/>
  <c r="BW18" i="20"/>
  <c r="BV12" i="16"/>
  <c r="BW12" i="20"/>
  <c r="BV16" i="16"/>
  <c r="BW11" i="20"/>
  <c r="S21"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28" i="2"/>
  <c r="X21" i="20"/>
  <c r="C30" i="7"/>
  <c r="S16" i="17"/>
  <c r="L12" i="2"/>
  <c r="L13" i="2"/>
  <c r="AO14" i="21"/>
  <c r="U9" i="17"/>
  <c r="U31" i="17" s="1"/>
  <c r="L9" i="2"/>
  <c r="AP14" i="16"/>
  <c r="V25" i="16"/>
  <c r="X13" i="16"/>
  <c r="T23" i="17"/>
  <c r="T26" i="17" s="1"/>
  <c r="T30" i="17" s="1"/>
  <c r="BG16" i="13"/>
  <c r="BE17" i="13"/>
  <c r="BE16" i="13"/>
  <c r="X32" i="20"/>
  <c r="G23" i="14"/>
  <c r="G30" i="14"/>
  <c r="F25" i="2" l="1"/>
  <c r="BD18" i="8"/>
  <c r="BF17" i="8"/>
  <c r="BD12" i="8"/>
  <c r="X12" i="21"/>
  <c r="BH9" i="16"/>
  <c r="BF13" i="11"/>
  <c r="BH16" i="16"/>
  <c r="BF28" i="11"/>
  <c r="BG20" i="11"/>
  <c r="BK29" i="11"/>
  <c r="V11" i="11"/>
  <c r="BM12" i="11"/>
  <c r="V9" i="11"/>
  <c r="BJ16" i="11"/>
  <c r="AP16" i="20"/>
  <c r="BH13" i="11"/>
  <c r="BL13" i="11"/>
  <c r="BL25" i="11"/>
  <c r="BH18" i="11"/>
  <c r="BG19" i="11"/>
  <c r="BM16"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X16" i="17"/>
  <c r="V9" i="16"/>
  <c r="AA9" i="16"/>
  <c r="L21" i="2"/>
  <c r="AA11" i="16"/>
  <c r="L19" i="2"/>
  <c r="X10" i="21"/>
  <c r="L25" i="2"/>
  <c r="S17" i="17"/>
  <c r="L10" i="2"/>
  <c r="BK22" i="11"/>
  <c r="BH12" i="16"/>
  <c r="BM9" i="11"/>
  <c r="S18" i="17"/>
  <c r="BH11" i="11"/>
  <c r="BH10" i="16"/>
  <c r="BL10" i="11"/>
  <c r="BL28" i="11"/>
  <c r="BI9" i="11"/>
  <c r="BI20" i="11"/>
  <c r="BG12" i="11"/>
  <c r="S11" i="14"/>
  <c r="V11" i="14" s="1"/>
  <c r="AZ20" i="11"/>
  <c r="S25" i="17"/>
  <c r="BU12" i="17"/>
  <c r="BV22" i="16"/>
  <c r="BW10" i="20"/>
  <c r="BU19" i="17"/>
  <c r="BU9" i="17"/>
  <c r="X21" i="16"/>
  <c r="BU22" i="17"/>
  <c r="BW25" i="20"/>
  <c r="BU10" i="17"/>
  <c r="X20" i="16"/>
  <c r="BW19" i="20"/>
  <c r="BU16" i="17"/>
  <c r="AZ16" i="11"/>
  <c r="AZ23" i="11" s="1"/>
  <c r="BJ25" i="11"/>
  <c r="AO28" i="17"/>
  <c r="AZ21" i="11"/>
  <c r="V22" i="11"/>
  <c r="V29" i="11"/>
  <c r="AZ13" i="11"/>
  <c r="BI19" i="11"/>
  <c r="BI25" i="11"/>
  <c r="BG22" i="11"/>
  <c r="Q18" i="20"/>
  <c r="Q23" i="20" s="1"/>
  <c r="V16" i="11"/>
  <c r="Z14" i="17"/>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AZ26"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<sst xmlns="http://schemas.openxmlformats.org/spreadsheetml/2006/main" count="2682" uniqueCount="1193">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</sst>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6/DuMNFZAYM1X6/9tq637f8v8dwbpCfXldLCeTkMXGh63PisTsLce8JCE/FvGHcce9I79N7KGmDXiaiY+W2Gw==" saltValue="5aXyhkN7y5aIXsGcPxzx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15.560126582278482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136</v>
      </c>
      <c r="D17" s="239">
        <f>IF(ISNUMBER(IF(D_I="SI",Datos!I17,Datos!I17+Datos!AC17)),IF(D_I="SI",Datos!I17,Datos!I17+Datos!AC17)," - ")</f>
        <v>125</v>
      </c>
      <c r="E17" s="240">
        <f>IF(ISNUMBER(IF(D_I="SI",Datos!J17,Datos!J17+Datos!AD17)),IF(D_I="SI",Datos!J17,Datos!J17+Datos!AD17)," - ")</f>
        <v>728</v>
      </c>
      <c r="F17" s="240">
        <f>IF(ISNUMBER(IF(D_I="SI",Datos!K17,Datos!K17+Datos!AE17)),IF(D_I="SI",Datos!K17,Datos!K17+Datos!AE17)," - ")</f>
        <v>725</v>
      </c>
      <c r="G17" s="1390" t="str">
        <f>IF(Datos!E17&lt;&gt;"",Datos!E17,Datos!D17)</f>
        <v>04</v>
      </c>
      <c r="H17" s="241">
        <f>IF(ISNUMBER(IF(D_I="SI",Datos!L17,Datos!L17+Datos!AF17)),IF(D_I="SI",Datos!L17,Datos!L17+Datos!AF17)," - ")</f>
        <v>139</v>
      </c>
      <c r="I17" s="1400" t="str">
        <f>IF(ISNUMBER(Datos!AS17/Datos!BM17),Datos!AS17/Datos!BM17," - ")</f>
        <v xml:space="preserve"> - </v>
      </c>
      <c r="J17" s="1401">
        <f>IF(ISNUMBER(Datos!BY17/Datos!CN17),Datos!BY17/Datos!CN17," - ")</f>
        <v>0</v>
      </c>
      <c r="K17" s="244">
        <f t="shared" si="3"/>
        <v>2.2058823529411766E-2</v>
      </c>
      <c r="L17" s="1402">
        <f>IF(ISNUMBER(NºAsuntos!I17/NºAsuntos!G17),(NºAsuntos!I17/NºAsuntos!G17)*11," - ")</f>
        <v>2.1089655172413795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15</v>
      </c>
      <c r="E18" s="240">
        <f>IF(ISNUMBER(IF(D_I="SI",Datos!J18,Datos!J18+Datos!AD18)),IF(D_I="SI",Datos!J18,Datos!J18+Datos!AD18)," - ")</f>
        <v>45</v>
      </c>
      <c r="F18" s="240">
        <f>IF(ISNUMBER(IF(D_I="SI",Datos!K18,Datos!K18+Datos!AE18)),IF(D_I="SI",Datos!K18,Datos!K18+Datos!AE18)," - ")</f>
        <v>54</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-0.52941176470588236</v>
      </c>
      <c r="L18" s="1402">
        <f>IF(ISNUMBER(NºAsuntos!I18/NºAsuntos!G18),(NºAsuntos!I18/NºAsuntos!G18)*11," - ")</f>
        <v>1.6296296296296295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v>
      </c>
      <c r="D23" s="1407">
        <f>SUBTOTAL(9,D16:D22)</f>
        <v>140</v>
      </c>
      <c r="E23" s="1408">
        <f>SUBTOTAL(9,E16:E22)</f>
        <v>773</v>
      </c>
      <c r="F23" s="1408">
        <f>SUBTOTAL(9,F16:F22)</f>
        <v>779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v>
      </c>
      <c r="D31" s="1435">
        <f>SUBTOTAL(9,D9:D30)</f>
        <v>140</v>
      </c>
      <c r="E31" s="1436">
        <f>SUBTOTAL(9,E9:E30)</f>
        <v>774</v>
      </c>
      <c r="F31" s="1436">
        <f>SUBTOTAL(9,F9:F30)</f>
        <v>779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pIq7MIOQtr/tyfU4M2h9F7sHhPag6u7v4VOF7jkalQpvSbRwTVuvV/5cuUcg1VYnrJuMtC43HxA7NNap6d6Uw==" saltValue="FBXQNDdmMEXWtbic/2zOZ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XHFPqz+Xq/xMU3M2qwua+p0MpcvYYs9oFfJRqrBpF8W57DyjHmY9igzwnLzi9uihWj6afLEDnjzShbI4/ULFA==" saltValue="MqQ8vI/K0Gka/C749Oe2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1</v>
      </c>
      <c r="S10" s="194">
        <v>5</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207</v>
      </c>
      <c r="J12" s="196">
        <v>462</v>
      </c>
      <c r="K12" s="196">
        <v>278</v>
      </c>
      <c r="L12" s="196">
        <v>397</v>
      </c>
      <c r="M12" s="196">
        <v>73</v>
      </c>
      <c r="N12" s="196">
        <v>146</v>
      </c>
      <c r="O12" s="194">
        <v>116</v>
      </c>
      <c r="P12" s="196">
        <v>53</v>
      </c>
      <c r="Q12" s="196">
        <v>216</v>
      </c>
      <c r="R12" s="196">
        <v>216</v>
      </c>
      <c r="S12" s="196">
        <v>223</v>
      </c>
      <c r="T12" s="196">
        <v>364</v>
      </c>
      <c r="U12" s="196">
        <v>405</v>
      </c>
      <c r="V12" s="196">
        <v>207</v>
      </c>
      <c r="W12" s="196">
        <v>104</v>
      </c>
      <c r="X12" s="202">
        <v>140</v>
      </c>
      <c r="Y12" s="204">
        <v>37</v>
      </c>
      <c r="Z12" s="194">
        <v>51</v>
      </c>
      <c r="AA12" s="194">
        <v>38</v>
      </c>
      <c r="AB12" s="194">
        <v>50</v>
      </c>
      <c r="AC12" s="196">
        <v>0</v>
      </c>
      <c r="AD12" s="196">
        <v>0</v>
      </c>
      <c r="AE12" s="196">
        <v>0</v>
      </c>
      <c r="AF12" s="202">
        <v>0</v>
      </c>
      <c r="AG12" s="215">
        <v>11</v>
      </c>
      <c r="AH12" s="196">
        <v>32</v>
      </c>
      <c r="AI12" s="196">
        <v>35</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234</v>
      </c>
      <c r="AZ12" s="137">
        <f t="shared" si="1"/>
        <v>396</v>
      </c>
      <c r="BA12" s="137">
        <f t="shared" si="1"/>
        <v>440</v>
      </c>
      <c r="BB12" s="137">
        <f t="shared" si="1"/>
        <v>244</v>
      </c>
      <c r="BC12" s="135">
        <f>IF(ISNUMBER(X12),X12," - ")</f>
        <v>140</v>
      </c>
      <c r="BD12" s="136">
        <f t="shared" si="2"/>
        <v>1.1111111111111112</v>
      </c>
      <c r="BE12" s="137">
        <f t="shared" si="3"/>
        <v>0.55454545454545456</v>
      </c>
      <c r="BF12" s="137">
        <f t="shared" si="4"/>
        <v>0.31818181818181818</v>
      </c>
      <c r="BG12" s="209">
        <f t="shared" si="5"/>
        <v>1.4318181818181819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207</v>
      </c>
      <c r="J14" s="197">
        <f t="shared" si="7"/>
        <v>463</v>
      </c>
      <c r="K14" s="197">
        <f t="shared" si="7"/>
        <v>278</v>
      </c>
      <c r="L14" s="197">
        <f t="shared" si="7"/>
        <v>398</v>
      </c>
      <c r="M14" s="197">
        <f t="shared" si="7"/>
        <v>73</v>
      </c>
      <c r="N14" s="197">
        <f t="shared" si="7"/>
        <v>146</v>
      </c>
      <c r="O14" s="197">
        <f t="shared" si="7"/>
        <v>116</v>
      </c>
      <c r="P14" s="197">
        <f t="shared" si="7"/>
        <v>53</v>
      </c>
      <c r="Q14" s="197">
        <f t="shared" si="7"/>
        <v>216</v>
      </c>
      <c r="R14" s="197">
        <f t="shared" si="7"/>
        <v>217</v>
      </c>
      <c r="S14" s="197">
        <f t="shared" si="7"/>
        <v>228</v>
      </c>
      <c r="T14" s="197">
        <f t="shared" si="7"/>
        <v>364</v>
      </c>
      <c r="U14" s="197">
        <f t="shared" si="7"/>
        <v>405</v>
      </c>
      <c r="V14" s="197">
        <f t="shared" si="7"/>
        <v>207</v>
      </c>
      <c r="W14" s="197">
        <f t="shared" si="7"/>
        <v>104</v>
      </c>
      <c r="X14" s="197">
        <f t="shared" si="7"/>
        <v>140</v>
      </c>
      <c r="Y14" s="197">
        <f t="shared" si="7"/>
        <v>37</v>
      </c>
      <c r="Z14" s="197">
        <f t="shared" si="7"/>
        <v>51</v>
      </c>
      <c r="AA14" s="197">
        <f t="shared" si="7"/>
        <v>38</v>
      </c>
      <c r="AB14" s="197">
        <f t="shared" si="7"/>
        <v>50</v>
      </c>
      <c r="AC14" s="197">
        <f t="shared" si="7"/>
        <v>0</v>
      </c>
      <c r="AD14" s="197">
        <f t="shared" si="7"/>
        <v>0</v>
      </c>
      <c r="AE14" s="197">
        <f t="shared" si="7"/>
        <v>0</v>
      </c>
      <c r="AF14" s="197">
        <f>SUBTOTAL(9,AF9:AF13)</f>
        <v>0</v>
      </c>
      <c r="AG14" s="197">
        <f t="shared" ref="AG14:AT14" si="8">SUBTOTAL(9,AG8:AG13)</f>
        <v>11</v>
      </c>
      <c r="AH14" s="197">
        <f t="shared" si="8"/>
        <v>32</v>
      </c>
      <c r="AI14" s="197">
        <f t="shared" si="8"/>
        <v>35</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239</v>
      </c>
      <c r="AZ14" s="197">
        <f>SUBTOTAL(9,AZ8:AZ13)</f>
        <v>396</v>
      </c>
      <c r="BA14" s="197">
        <f>SUBTOTAL(9,BA8:BA13)</f>
        <v>440</v>
      </c>
      <c r="BB14" s="197">
        <f>SUBTOTAL(9,BB8:BB13)</f>
        <v>244</v>
      </c>
      <c r="BC14" s="197">
        <f>SUBTOTAL(9,BC8:BC13)</f>
        <v>140</v>
      </c>
      <c r="BD14" s="219">
        <f>IF(ISNUMBER(BA14/AZ14),BA14/AZ14," - ")</f>
        <v>1.1111111111111112</v>
      </c>
      <c r="BE14" s="220">
        <f>IF(ISNUMBER(BB14/BA14),BB14/BA14, " - ")</f>
        <v>0.55454545454545456</v>
      </c>
      <c r="BF14" s="220">
        <f>IF(ISNUMBER(BC14/BA14),BC14/BA14, " - ")</f>
        <v>0.31818181818181818</v>
      </c>
      <c r="BG14" s="221">
        <f>IF(ISNUMBER((AY14+AZ14)/BA14),(AY14+AZ14)/BA14," - ")</f>
        <v>1.4431818181818181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v>
      </c>
      <c r="J17" s="196">
        <v>728</v>
      </c>
      <c r="K17" s="196">
        <v>725</v>
      </c>
      <c r="L17" s="196">
        <v>139</v>
      </c>
      <c r="M17" s="196">
        <v>75</v>
      </c>
      <c r="N17" s="196">
        <v>497</v>
      </c>
      <c r="O17" s="194">
        <v>1</v>
      </c>
      <c r="P17" s="196">
        <v>5</v>
      </c>
      <c r="Q17" s="196">
        <v>5</v>
      </c>
      <c r="R17" s="196">
        <v>27</v>
      </c>
      <c r="S17" s="196">
        <v>221</v>
      </c>
      <c r="T17" s="196">
        <v>664</v>
      </c>
      <c r="U17" s="196">
        <v>656</v>
      </c>
      <c r="V17" s="196">
        <v>125</v>
      </c>
      <c r="W17" s="196">
        <v>78</v>
      </c>
      <c r="X17" s="202">
        <v>450</v>
      </c>
      <c r="Y17" s="215">
        <v>0</v>
      </c>
      <c r="Z17" s="196">
        <v>0</v>
      </c>
      <c r="AA17" s="196">
        <v>0</v>
      </c>
      <c r="AB17" s="196">
        <v>0</v>
      </c>
      <c r="AC17" s="196">
        <v>0</v>
      </c>
      <c r="AD17" s="196">
        <v>5</v>
      </c>
      <c r="AE17" s="196">
        <v>5</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221</v>
      </c>
      <c r="AZ17" s="137">
        <f t="shared" si="10"/>
        <v>664</v>
      </c>
      <c r="BA17" s="137">
        <f t="shared" si="10"/>
        <v>656</v>
      </c>
      <c r="BB17" s="137">
        <f t="shared" si="10"/>
        <v>125</v>
      </c>
      <c r="BC17" s="135">
        <f>IF(ISNUMBER(W17),W17," - ")</f>
        <v>78</v>
      </c>
      <c r="BD17" s="136">
        <f t="shared" ref="BD17:BD22" si="12">IF(ISNUMBER(BA17/AZ17),BA17/AZ17," - ")</f>
        <v>0.98795180722891562</v>
      </c>
      <c r="BE17" s="137">
        <f t="shared" ref="BE17:BE22" si="13">IF(ISNUMBER(BB17/BA17),BB17/BA17, " - ")</f>
        <v>0.19054878048780488</v>
      </c>
      <c r="BF17" s="137">
        <f t="shared" ref="BF17:BF22" si="14">IF(ISNUMBER(BC17/BA17),BC17/BA17, " - ")</f>
        <v>0.11890243902439024</v>
      </c>
      <c r="BG17" s="209">
        <f t="shared" si="11"/>
        <v>1.3490853658536586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45</v>
      </c>
      <c r="K18" s="196">
        <v>54</v>
      </c>
      <c r="L18" s="196">
        <v>8</v>
      </c>
      <c r="M18" s="196">
        <v>6</v>
      </c>
      <c r="N18" s="196">
        <v>38</v>
      </c>
      <c r="O18" s="196">
        <v>0</v>
      </c>
      <c r="P18" s="196">
        <v>0</v>
      </c>
      <c r="Q18" s="196">
        <v>0</v>
      </c>
      <c r="R18" s="196">
        <v>1</v>
      </c>
      <c r="S18" s="196">
        <v>16</v>
      </c>
      <c r="T18" s="196">
        <v>48</v>
      </c>
      <c r="U18" s="196">
        <v>37</v>
      </c>
      <c r="V18" s="196">
        <v>15</v>
      </c>
      <c r="W18" s="196">
        <v>3</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48</v>
      </c>
      <c r="BA18" s="139">
        <f t="shared" si="15"/>
        <v>37</v>
      </c>
      <c r="BB18" s="139">
        <f t="shared" si="15"/>
        <v>15</v>
      </c>
      <c r="BC18" s="135">
        <f>IF(ISNUMBER(W18),W18," - ")</f>
        <v>3</v>
      </c>
      <c r="BD18" s="136">
        <f>IF(ISNUMBER(BA18/AZ18),BA18/AZ18," - ")</f>
        <v>0.77083333333333337</v>
      </c>
      <c r="BE18" s="137">
        <f>IF(ISNUMBER(BB18/BA18),BB18/BA18, " - ")</f>
        <v>0.40540540540540543</v>
      </c>
      <c r="BF18" s="137">
        <f>IF(ISNUMBER(BC18/BA18),BC18/BA18, " - ")</f>
        <v>8.1081081081081086E-2</v>
      </c>
      <c r="BG18" s="209">
        <f>IF(ISNUMBER((AY18+AZ18)/BA18),(AY18+AZ18)/BA18," - ")</f>
        <v>1.7297297297297298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140</v>
      </c>
      <c r="J23" s="197">
        <f t="shared" si="21"/>
        <v>773</v>
      </c>
      <c r="K23" s="197">
        <f t="shared" si="21"/>
        <v>779</v>
      </c>
      <c r="L23" s="197">
        <f t="shared" si="21"/>
        <v>147</v>
      </c>
      <c r="M23" s="197">
        <f t="shared" si="21"/>
        <v>81</v>
      </c>
      <c r="N23" s="197">
        <f t="shared" si="21"/>
        <v>535</v>
      </c>
      <c r="O23" s="197">
        <f t="shared" si="21"/>
        <v>1</v>
      </c>
      <c r="P23" s="197">
        <f t="shared" si="21"/>
        <v>5</v>
      </c>
      <c r="Q23" s="197">
        <f t="shared" si="21"/>
        <v>5</v>
      </c>
      <c r="R23" s="197">
        <f t="shared" si="21"/>
        <v>28</v>
      </c>
      <c r="S23" s="197">
        <f t="shared" si="21"/>
        <v>237</v>
      </c>
      <c r="T23" s="197">
        <f t="shared" si="21"/>
        <v>712</v>
      </c>
      <c r="U23" s="197">
        <f t="shared" si="21"/>
        <v>693</v>
      </c>
      <c r="V23" s="197">
        <f t="shared" si="21"/>
        <v>140</v>
      </c>
      <c r="W23" s="197">
        <f t="shared" si="21"/>
        <v>81</v>
      </c>
      <c r="X23" s="197">
        <f t="shared" si="21"/>
        <v>482</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237</v>
      </c>
      <c r="AZ23" s="197">
        <f>SUBTOTAL(9,AZ15:AZ22)</f>
        <v>712</v>
      </c>
      <c r="BA23" s="197">
        <f>SUBTOTAL(9,BA15:BA22)</f>
        <v>693</v>
      </c>
      <c r="BB23" s="197">
        <f>SUBTOTAL(9,BB15:BB22)</f>
        <v>140</v>
      </c>
      <c r="BC23" s="197">
        <f>SUBTOTAL(9,BC15:BC22)</f>
        <v>81</v>
      </c>
      <c r="BD23" s="219">
        <f>IF(ISNUMBER(BA23/AZ23),BA23/AZ23," - ")</f>
        <v>0.973314606741573</v>
      </c>
      <c r="BE23" s="220">
        <f>IF(ISNUMBER(BB23/BA23),BB23/BA23, " - ")</f>
        <v>0.20202020202020202</v>
      </c>
      <c r="BF23" s="220">
        <f>IF(ISNUMBER(BC23/BA23),BC23/BA23, " - ")</f>
        <v>0.11688311688311688</v>
      </c>
      <c r="BG23" s="221">
        <f>IF(ISNUMBER((AY23+AZ23)/BA23),(AY23+AZ23)/BA23," - ")</f>
        <v>1.3694083694083694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347</v>
      </c>
      <c r="J31" s="144">
        <f t="shared" si="36"/>
        <v>1236</v>
      </c>
      <c r="K31" s="144">
        <f t="shared" si="36"/>
        <v>1057</v>
      </c>
      <c r="L31" s="144">
        <f t="shared" si="36"/>
        <v>545</v>
      </c>
      <c r="M31" s="144">
        <f t="shared" si="36"/>
        <v>154</v>
      </c>
      <c r="N31" s="144">
        <f t="shared" si="36"/>
        <v>681</v>
      </c>
      <c r="O31" s="144">
        <f t="shared" si="36"/>
        <v>117</v>
      </c>
      <c r="P31" s="144">
        <f t="shared" si="36"/>
        <v>58</v>
      </c>
      <c r="Q31" s="144">
        <f t="shared" si="36"/>
        <v>221</v>
      </c>
      <c r="R31" s="144">
        <f t="shared" si="36"/>
        <v>245</v>
      </c>
      <c r="S31" s="144">
        <f t="shared" si="36"/>
        <v>465</v>
      </c>
      <c r="T31" s="144">
        <f t="shared" si="36"/>
        <v>1076</v>
      </c>
      <c r="U31" s="144">
        <f t="shared" si="36"/>
        <v>1098</v>
      </c>
      <c r="V31" s="144">
        <f t="shared" si="36"/>
        <v>347</v>
      </c>
      <c r="W31" s="144">
        <f t="shared" si="36"/>
        <v>185</v>
      </c>
      <c r="X31" s="144">
        <f t="shared" si="36"/>
        <v>622</v>
      </c>
      <c r="Y31" s="144">
        <f t="shared" si="36"/>
        <v>37</v>
      </c>
      <c r="Z31" s="144">
        <f t="shared" si="36"/>
        <v>51</v>
      </c>
      <c r="AA31" s="144">
        <f t="shared" si="36"/>
        <v>38</v>
      </c>
      <c r="AB31" s="144">
        <f t="shared" si="36"/>
        <v>50</v>
      </c>
      <c r="AC31" s="144">
        <f t="shared" si="36"/>
        <v>0</v>
      </c>
      <c r="AD31" s="144">
        <f t="shared" si="36"/>
        <v>5</v>
      </c>
      <c r="AE31" s="144">
        <f t="shared" si="36"/>
        <v>5</v>
      </c>
      <c r="AF31" s="144">
        <f t="shared" si="36"/>
        <v>0</v>
      </c>
      <c r="AG31" s="144">
        <f t="shared" si="36"/>
        <v>11</v>
      </c>
      <c r="AH31" s="144">
        <f t="shared" si="36"/>
        <v>32</v>
      </c>
      <c r="AI31" s="144">
        <f t="shared" si="36"/>
        <v>35</v>
      </c>
      <c r="AJ31" s="144">
        <f t="shared" si="36"/>
        <v>37</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476</v>
      </c>
      <c r="AZ31" s="144">
        <f>SUBTOTAL(9,AZ9:AZ30)</f>
        <v>1108</v>
      </c>
      <c r="BA31" s="144">
        <f>SUBTOTAL(9,BA9:BA30)</f>
        <v>1133</v>
      </c>
      <c r="BB31" s="144">
        <f>SUBTOTAL(9,BB9:BB30)</f>
        <v>384</v>
      </c>
      <c r="BC31" s="145">
        <f>SUBTOTAL(9,BC9:BC30)</f>
        <v>221</v>
      </c>
      <c r="BD31" s="227">
        <f>IF(ISNUMBER(BA31/AZ31),BA31/AZ31," - ")</f>
        <v>1.022563176895307</v>
      </c>
      <c r="BE31" s="224">
        <f>IF(ISNUMBER(BB31/BA31),BB31/BA31, " - ")</f>
        <v>0.3389232127096205</v>
      </c>
      <c r="BF31" s="224">
        <f>IF(ISNUMBER(BC31/BA31),BC31/BA31, " - ")</f>
        <v>0.19505736981465135</v>
      </c>
      <c r="BG31" s="145">
        <f>IF(ISNUMBER((AY31+AZ31)/BA31),(AY31+AZ31)/BA31," - ")</f>
        <v>1.3980582524271845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4WdYCLPdNiYFgSBKaX9JxriTjgRPLQUE0dKDSOZ/mB+lUBslFgXqeSnEycr0ZKeRpIg/kP3ue0LY95HRfqEfQ==" saltValue="CMoiIQW9leOmgsGaEytg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zIqMNKvtM04bytym54ryUFWwBlwJm0KeMpi/pUDnt4irWbwa4K5wwGsE1ifT1jITK4ZM73K9Cix0ATDZrsnw==" saltValue="6EKhyZebOVmEYOwHKGXA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CALAMOCHA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146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0.61598440545808963</v>
      </c>
      <c r="BH12" s="764">
        <f>IF(ISNUMBER(((IF(J_V="SI",Datos!L12/Datos!K12,(Datos!L12+Datos!AB12)/(Datos!K12+Datos!AA12)))*11)/factor_trimestre),((IF(J_V="SI",Datos!L12/Datos!K12,(Datos!L12+Datos!AB12)/(Datos!K12+Datos!AA12)))*11)/factor_trimestre," - ")</f>
        <v>15.560126582278482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-0.43007915567282323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216</v>
      </c>
      <c r="AD14" s="1198">
        <f t="shared" si="2"/>
        <v>0</v>
      </c>
      <c r="AE14" s="1198">
        <f t="shared" si="2"/>
        <v>0</v>
      </c>
      <c r="AF14" s="1198">
        <f t="shared" si="2"/>
        <v>1</v>
      </c>
      <c r="AG14" s="1198">
        <f t="shared" si="2"/>
        <v>0</v>
      </c>
      <c r="AH14" s="1198">
        <f t="shared" si="2"/>
        <v>50</v>
      </c>
      <c r="AI14" s="1198">
        <f t="shared" si="2"/>
        <v>0</v>
      </c>
      <c r="AJ14" s="1198">
        <f t="shared" si="2"/>
        <v>0</v>
      </c>
      <c r="AK14" s="1198">
        <f t="shared" si="2"/>
        <v>0</v>
      </c>
      <c r="AL14" s="1198">
        <f t="shared" si="2"/>
        <v>0</v>
      </c>
      <c r="AM14" s="1198">
        <f t="shared" si="2"/>
        <v>217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146</v>
      </c>
      <c r="BE14" s="1198">
        <f t="shared" si="2"/>
        <v>0</v>
      </c>
      <c r="BF14" s="1198">
        <f t="shared" si="2"/>
        <v>0</v>
      </c>
      <c r="BG14" s="1198">
        <f>IF(ISNUMBER(Datos!K14/Datos!J14),Datos!K14/Datos!J14," - ")</f>
        <v>0.60043196544276456</v>
      </c>
      <c r="BH14" s="1202">
        <f>IF(ISNUMBER(((Datos!L14/Datos!K14)*11)/factor_trimestre),((Datos!L14/Datos!K14)*11)/factor_trimestre," - ")</f>
        <v>15.74820143884892</v>
      </c>
      <c r="BI14" s="1198">
        <f>IF(ISNUMBER('Resol  Asuntos'!D14/NºAsuntos!G14),'Resol  Asuntos'!D14/NºAsuntos!G14," - ")</f>
        <v>0.23101265822784811</v>
      </c>
      <c r="BJ14" s="1198" t="str">
        <f>IF(ISNUMBER(Datos!CI14/Datos!CJ14),Datos!CI14/Datos!CJ14," - ")</f>
        <v xml:space="preserve"> - </v>
      </c>
      <c r="BK14" s="1198">
        <f>SUBTOTAL(9,BK8:BK13)</f>
        <v>0</v>
      </c>
      <c r="BL14" s="1198" t="str">
        <f>IF(ISNUMBER((I14-AB14+L14)/(F14)),(I14-AB14+L14)/(F14)," - ")</f>
        <v xml:space="preserve"> - </v>
      </c>
      <c r="BM14" s="1203">
        <f>SUBTOTAL(9,BM9:BM13)</f>
        <v>-0.43007915567282323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136</v>
      </c>
      <c r="G17" s="743">
        <f>IF(ISNUMBER(IF(D_I="SI",Datos!I17,Datos!I17+Datos!AC17)),IF(D_I="SI",Datos!I17,Datos!I17+Datos!AC17)," - ")</f>
        <v>125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725</v>
      </c>
      <c r="AC17" s="240">
        <f>IF(ISNUMBER(Datos!Q17),Datos!Q17," - ")</f>
        <v>5</v>
      </c>
      <c r="AD17" s="374"/>
      <c r="AE17" s="562"/>
      <c r="AF17" s="741">
        <f>IF(ISNUMBER(IF(D_I="SI",Datos!L17,Datos!L17+Datos!AF17)),IF(D_I="SI",Datos!L17,Datos!L17+Datos!AF17)," - ")</f>
        <v>139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497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0.99587912087912089</v>
      </c>
      <c r="BH17" s="764">
        <f>IF(ISNUMBER(((IF(D_I="SI",Datos!L17/Datos!K17,(Datos!L17+Datos!AF17)/(Datos!K17+Datos!AE17)))*11)/factor_trimestre),((IF(D_I="SI",Datos!L17/Datos!K17,(Datos!L17+Datos!AF17)/(Datos!K17+Datos!AE17)))*11)/factor_trimestre," - ")</f>
        <v>2.1089655172413795</v>
      </c>
      <c r="BI17" s="266">
        <f>IF(ISNUMBER('Resol  Asuntos'!D17/NºAsuntos!G17),'Resol  Asuntos'!D17/NºAsuntos!G17," - ")</f>
        <v>0.10344827586206896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1.6296296296296295</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136</v>
      </c>
      <c r="G23" s="1197">
        <f>SUBTOTAL(9,G16:G22)</f>
        <v>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779</v>
      </c>
      <c r="AC23" s="1198">
        <f t="shared" si="5"/>
        <v>5</v>
      </c>
      <c r="AD23" s="1198">
        <f t="shared" si="5"/>
        <v>0</v>
      </c>
      <c r="AE23" s="1198">
        <f t="shared" si="5"/>
        <v>0</v>
      </c>
      <c r="AF23" s="1198">
        <f t="shared" si="5"/>
        <v>147</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535</v>
      </c>
      <c r="BE23" s="1198">
        <f t="shared" si="5"/>
        <v>0</v>
      </c>
      <c r="BF23" s="1198">
        <f t="shared" si="5"/>
        <v>0</v>
      </c>
      <c r="BG23" s="1198">
        <f>IF(ISNUMBER(Datos!K23/Datos!J23),Datos!K23/Datos!J23," - ")</f>
        <v>1.0077619663648125</v>
      </c>
      <c r="BH23" s="1202">
        <f>IF(ISNUMBER(((Datos!L23/Datos!K23)*11)/factor_trimestre),((Datos!L23/Datos!K23)*11)/factor_trimestre," - ")</f>
        <v>2.0757381258023107</v>
      </c>
      <c r="BI23" s="1198">
        <f>SUBTOTAL(9,BI16:BI22)</f>
        <v>0.21455938697318006</v>
      </c>
      <c r="BJ23" s="1198">
        <f>SUBTOTAL(9,BJ16:BJ22)</f>
        <v>0</v>
      </c>
      <c r="BK23" s="1198">
        <f>SUBTOTAL(9,BK16:BK22)</f>
        <v>0</v>
      </c>
      <c r="BL23" s="1198">
        <f>IF(ISNUMBER((I23-AB23+L23)/(F23)),(I23-AB23+L23)/(F23)," - ")</f>
        <v>-5.7279411764705879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136</v>
      </c>
      <c r="G31" s="1117">
        <f t="shared" si="18"/>
        <v>140</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779</v>
      </c>
      <c r="AC31" s="1118">
        <f t="shared" si="19"/>
        <v>221</v>
      </c>
      <c r="AD31" s="1118">
        <f t="shared" si="19"/>
        <v>0</v>
      </c>
      <c r="AE31" s="1118">
        <f t="shared" si="19"/>
        <v>0</v>
      </c>
      <c r="AF31" s="1125">
        <f t="shared" si="19"/>
        <v>148</v>
      </c>
      <c r="AG31" s="1125">
        <f t="shared" si="19"/>
        <v>0</v>
      </c>
      <c r="AH31" s="1125">
        <f t="shared" si="19"/>
        <v>50</v>
      </c>
      <c r="AI31" s="1125">
        <f t="shared" si="19"/>
        <v>0</v>
      </c>
      <c r="AJ31" s="1118">
        <f t="shared" si="19"/>
        <v>0</v>
      </c>
      <c r="AK31" s="1125">
        <f t="shared" si="19"/>
        <v>0</v>
      </c>
      <c r="AL31" s="1125">
        <f t="shared" si="19"/>
        <v>0</v>
      </c>
      <c r="AM31" s="1125">
        <f t="shared" si="19"/>
        <v>245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681</v>
      </c>
      <c r="BE31" s="1117">
        <f t="shared" si="19"/>
        <v>0</v>
      </c>
      <c r="BF31" s="1127">
        <f t="shared" si="19"/>
        <v>0</v>
      </c>
      <c r="BG31" s="1223">
        <f>IF(ISNUMBER(Datos!K31/Datos!J31),Datos!K31/Datos!J31," - ")</f>
        <v>0.85517799352750812</v>
      </c>
      <c r="BH31" s="1223">
        <f>IF(ISNUMBER(((Datos!L31/Datos!K31)*11)/factor_trimestre),((Datos!L31/Datos!K31)*11)/factor_trimestre," - ")</f>
        <v>5.6717123935666987</v>
      </c>
      <c r="BI31" s="1103">
        <f>IF(ISNUMBER(Datos!J31/Datos!I31),Datos!J31/Datos!I31," - ")</f>
        <v>3.5619596541786742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-5.7279411764705879</v>
      </c>
      <c r="BM31" s="1188">
        <f>IF(ISNUMBER((Datos!P31-Datos!Q31+R31)/(Datos!R31-Datos!P31+Datos!Q31-R31)),(Datos!P31-Datos!Q31+R31)/(Datos!R31-Datos!P31+Datos!Q31-R31)," - ")</f>
        <v>-0.39950980392156865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70.230098011227824</v>
      </c>
      <c r="G33" s="674">
        <f>IF(ISNUMBER(STDEV(G8:G30)),STDEV(G8:G30),"-")</f>
        <v>63.574103742535499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362.54096648648192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39.680869806134901</v>
      </c>
      <c r="BD33" s="673"/>
      <c r="BE33" s="673">
        <f>IF(ISNUMBER(STDEV(BE8:BE30)),STDEV(BE8:BE30),"-")</f>
        <v>0</v>
      </c>
      <c r="BF33" s="678">
        <f>IF(ISNUMBER(STDEV(BF8:BF30)),STDEV(BF8:BF30),"-")</f>
        <v>0</v>
      </c>
      <c r="BG33" s="1052">
        <f>IF(ISNUMBER(STDEV(BG8:BG30)),STDEV(BG8:BG30),"-")</f>
        <v>0.4315468491208268</v>
      </c>
      <c r="BH33" s="1058">
        <f>IF(ISNUMBER(STDEV(BH8:BH30)),STDEV(BH8:BH30),"-")</f>
        <v>7.5152695985877962</v>
      </c>
      <c r="BI33" s="273">
        <f>IF(ISNUMBER(STDEV(BI8:BI30)),STDEV(BI8:BI30),"-")</f>
        <v>6.7098004577610115E-2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vgBCIfs1Cg+ax8UOysMlNW9pUj4ivzN1q0gtufBeefUTFBcXOMdUpBnyT6cmiYUdI69de6NvrCbh217azEuuQ==" saltValue="IhIL/jSljt1pgs8zGYAp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CALAMOCHA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216</v>
      </c>
      <c r="AA12" s="551" t="str">
        <f>IF(ISNUMBER(IF(J_V="SI",Datos!L12,Datos!L12+Datos!AB12)-IF(Monitorios="SI",Datos!CD12,0)),
                          IF(J_V="SI",Datos!L12,Datos!L12+Datos!AB12)-IF(Monitorios="SI",Datos!CD12,0),
                          " - ")</f>
        <v xml:space="preserve"> - </v>
      </c>
      <c r="AB12" s="549"/>
      <c r="AC12" s="549"/>
      <c r="AD12" s="563"/>
      <c r="AE12" s="563">
        <f>IF(ISNUMBER(Datos!R12),Datos!R12," - ")</f>
        <v>216</v>
      </c>
      <c r="AF12" s="693" t="str">
        <f>IF(ISNUMBER(Datos!BV12),Datos!BV12," - ")</f>
        <v xml:space="preserve"> - </v>
      </c>
      <c r="AG12" s="552" t="str">
        <f>IF(ISNUMBER(Datos!DV12),Datos!DV12," - ")</f>
        <v xml:space="preserve"> - </v>
      </c>
      <c r="AH12" s="553"/>
      <c r="AI12" s="554"/>
      <c r="AJ12" s="552">
        <f>IF(ISNUMBER(Datos!M12),Datos!M12," - ")</f>
        <v>73</v>
      </c>
      <c r="AK12" s="693">
        <f>IF(ISNUMBER(Datos!N12),Datos!N12," - ")</f>
        <v>146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15.560126582278482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-0.43007915567282323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216</v>
      </c>
      <c r="AA14" s="1199">
        <f t="shared" si="3"/>
        <v>1</v>
      </c>
      <c r="AB14" s="1199">
        <f t="shared" si="3"/>
        <v>0</v>
      </c>
      <c r="AC14" s="1199">
        <f t="shared" si="3"/>
        <v>0</v>
      </c>
      <c r="AD14" s="1199">
        <f t="shared" si="3"/>
        <v>0</v>
      </c>
      <c r="AE14" s="1199">
        <f t="shared" si="3"/>
        <v>217</v>
      </c>
      <c r="AF14" s="1211">
        <f t="shared" si="3"/>
        <v>0</v>
      </c>
      <c r="AG14" s="1211">
        <f t="shared" si="3"/>
        <v>0</v>
      </c>
      <c r="AH14" s="1211">
        <f t="shared" si="3"/>
        <v>0</v>
      </c>
      <c r="AI14" s="1211">
        <f t="shared" si="3"/>
        <v>0</v>
      </c>
      <c r="AJ14" s="1211">
        <f t="shared" si="3"/>
        <v>73</v>
      </c>
      <c r="AK14" s="1211">
        <f t="shared" si="3"/>
        <v>146</v>
      </c>
      <c r="AL14" s="1211">
        <f t="shared" si="3"/>
        <v>0</v>
      </c>
      <c r="AM14" s="1211">
        <f t="shared" si="3"/>
        <v>0</v>
      </c>
      <c r="AN14" s="1211">
        <f t="shared" si="3"/>
        <v>0</v>
      </c>
      <c r="AO14" s="1203">
        <f>IF(ISNUMBER(((NºAsuntos!I14/NºAsuntos!G14)*11)/factor_trimestre),((NºAsuntos!I14/NºAsuntos!G14)*11)/factor_trimestre," - ")</f>
        <v>15.594936708860759</v>
      </c>
      <c r="AP14" s="1213" t="str">
        <f>IF(ISNUMBER(Datos!CI14/Datos!CJ14),Datos!CI14/Datos!CJ14," - ")</f>
        <v xml:space="preserve"> - </v>
      </c>
      <c r="AQ14" s="1236">
        <f t="shared" ref="AQ14:AV14" si="4">SUBTOTAL(9,AQ9:AQ13)</f>
        <v>0</v>
      </c>
      <c r="AR14" s="1236">
        <f t="shared" si="4"/>
        <v>-0.43007915567282323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136</v>
      </c>
      <c r="G17" s="552">
        <f>IF(ISNUMBER(IF(D_I="SI",Datos!I17,Datos!I17+Datos!AC17)),IF(D_I="SI",Datos!I17,Datos!I17+Datos!AC17)," - ")</f>
        <v>125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725</v>
      </c>
      <c r="Z17" s="805">
        <f>IF(ISNUMBER(Datos!Q17),Datos!Q17," - ")</f>
        <v>5</v>
      </c>
      <c r="AA17" s="551">
        <f>IF(ISNUMBER(IF(D_I="SI",Datos!L17,Datos!L17+Datos!AF17)),IF(D_I="SI",Datos!L17,Datos!L17+Datos!AF17)," - ")</f>
        <v>139</v>
      </c>
      <c r="AB17" s="549"/>
      <c r="AC17" s="549"/>
      <c r="AD17" s="563"/>
      <c r="AE17" s="563">
        <f>IF(ISNUMBER(Datos!R17),Datos!R17," - ")</f>
        <v>27</v>
      </c>
      <c r="AF17" s="693" t="str">
        <f>IF(ISNUMBER(Datos!BV17),Datos!BV17," - ")</f>
        <v xml:space="preserve"> - </v>
      </c>
      <c r="AG17" s="552"/>
      <c r="AH17" s="553"/>
      <c r="AI17" s="554"/>
      <c r="AJ17" s="552">
        <f>IF(ISNUMBER(Datos!M17),Datos!M17," - ")</f>
        <v>75</v>
      </c>
      <c r="AK17" s="693">
        <f>IF(ISNUMBER(Datos!N17),Datos!N17," - ")</f>
        <v>497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2.1089655172413795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1.6296296296296295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136</v>
      </c>
      <c r="G23" s="1197">
        <f>SUBTOTAL(9,G16:G22)</f>
        <v>140</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779</v>
      </c>
      <c r="Z23" s="1240">
        <f t="shared" si="6"/>
        <v>5</v>
      </c>
      <c r="AA23" s="1240">
        <f t="shared" si="6"/>
        <v>147</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81</v>
      </c>
      <c r="AK23" s="1240">
        <f t="shared" si="6"/>
        <v>535</v>
      </c>
      <c r="AL23" s="1240">
        <f t="shared" si="6"/>
        <v>0</v>
      </c>
      <c r="AM23" s="1240">
        <f t="shared" si="6"/>
        <v>0</v>
      </c>
      <c r="AN23" s="1240">
        <f t="shared" si="6"/>
        <v>0</v>
      </c>
      <c r="AO23" s="1242">
        <f>IF(ISNUMBER(((NºAsuntos!I23/NºAsuntos!G23)*11)/factor_trimestre),((NºAsuntos!I23/NºAsuntos!G23)*11)/factor_trimestre," - ")</f>
        <v>2.0757381258023107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136</v>
      </c>
      <c r="G31" s="1117">
        <f t="shared" si="12"/>
        <v>140</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779</v>
      </c>
      <c r="Z31" s="1124">
        <f t="shared" si="13"/>
        <v>221</v>
      </c>
      <c r="AA31" s="1125">
        <f t="shared" si="13"/>
        <v>148</v>
      </c>
      <c r="AB31" s="1125">
        <f t="shared" si="13"/>
        <v>0</v>
      </c>
      <c r="AC31" s="1125">
        <f t="shared" si="13"/>
        <v>0</v>
      </c>
      <c r="AD31" s="1126">
        <f t="shared" si="13"/>
        <v>0</v>
      </c>
      <c r="AE31" s="1126">
        <f t="shared" si="13"/>
        <v>245</v>
      </c>
      <c r="AF31" s="1127">
        <f t="shared" si="13"/>
        <v>0</v>
      </c>
      <c r="AG31" s="1128">
        <f t="shared" si="13"/>
        <v>0</v>
      </c>
      <c r="AH31" s="1129">
        <f t="shared" si="13"/>
        <v>0</v>
      </c>
      <c r="AI31" s="1127">
        <f t="shared" si="13"/>
        <v>0</v>
      </c>
      <c r="AJ31" s="1117">
        <f t="shared" si="13"/>
        <v>154</v>
      </c>
      <c r="AK31" s="1117">
        <f t="shared" si="13"/>
        <v>681</v>
      </c>
      <c r="AL31" s="1117">
        <f t="shared" si="13"/>
        <v>0</v>
      </c>
      <c r="AM31" s="1130">
        <f t="shared" si="13"/>
        <v>0</v>
      </c>
      <c r="AN31" s="1120">
        <f>IF(ISNUMBER(Datos!K31/Datos!J31),Datos!K31/Datos!J31," - ")</f>
        <v>0.85517799352750812</v>
      </c>
      <c r="AO31" s="1120">
        <f>IF(ISNUMBER(FIND("06",Criterios!A8,1)),(IF(ISNUMBER(((Datos!R31/Datos!Q31)*11)/factor_trimestre),((Datos!R31/Datos!Q31)*11)/factor_trimestre," - ")),(IF(ISNUMBER(((Datos!L31/Datos!K31)*11)/factor_trimestre),((Datos!L31/Datos!K31)*11)/factor_trimestre," - ")))</f>
        <v>5.6717123935666987</v>
      </c>
      <c r="AP31" s="1131" t="str">
        <f>IF(ISNUMBER(Datos!CI31/Datos!CJ31),Datos!CI31/Datos!CJ31," - ")</f>
        <v xml:space="preserve"> - </v>
      </c>
      <c r="AQ31" s="1131">
        <f>IF(OR(ISNUMBER(FIND("01",Criterios!A8,1)),ISNUMBER(FIND("02",Criterios!A8,1)),ISNUMBER(FIND("03",Criterios!A8,1)),ISNUMBER(FIND("04",Criterios!A8,1))),(J31-Y31+K31)/(F31-K31),(I31-Y31+K31)/(F31-K31))</f>
        <v>-5.7279411764705879</v>
      </c>
      <c r="AR31" s="1131">
        <f>IF(ISNUMBER((Datos!P31-Datos!Q31+O31)/(Datos!R31-Datos!P31+Datos!Q31-O31)),(Datos!P31-Datos!Q31+O31)/(Datos!R31-Datos!P31+Datos!Q31-O31)," - ")</f>
        <v>-0.39950980392156865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70.230098011227824</v>
      </c>
      <c r="G33" s="674">
        <f>IF(ISNUMBER(STDEV(G8:G30)),STDEV(G8:G30),"-")</f>
        <v>63.574103742535499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39.680869806134901</v>
      </c>
      <c r="AK33" s="276"/>
      <c r="AL33" s="276">
        <f>IF(ISNUMBER(STDEV(AL8:AL30)),STDEV(AL8:AL30),"-")</f>
        <v>0</v>
      </c>
      <c r="AM33" s="278">
        <f>IF(ISNUMBER(STDEV(AM8:AM30)),STDEV(AM8:AM30),"-")</f>
        <v>0</v>
      </c>
      <c r="AN33" s="660">
        <f>IF(ISNUMBER(STDEV(AN8:AN30)),STDEV(AN8:AN30),"-")</f>
        <v>0</v>
      </c>
      <c r="AO33" s="661">
        <f>IF(ISNUMBER(STDEV(AO8:AO30)),STDEV(AO8:AO30),"-")</f>
        <v>7.4730256723934181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SH2Hdh0VpsU0BcHlqGljbLKB3oMdcdttotYCTJ7NE+BeLFWWuqsXKt45jCzhVzSitNzzvhgWgCOhv2MFknPVw==" saltValue="GtAvP/sQnnVfjUUGnehn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AmNDoAQC/JsxEd8fL9jxT+3NLfUxrREB6gH99fWeDuZxszdgCoJgjPgYkcXXUyERBJXU5bzPKAJl/JDYBjSPA==" saltValue="wL8k4i0/ExIscHX6t831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xxRFj1kJ2ck2I84/aulMK5iHxnabQ4tDCv5BIZlkELP+T5z8UUJ+pxVN/VHACnrzr8ZL+w0FbteW4M7nAbcQA==" saltValue="CFNefRAdVBvxzF777DuI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CALAMOCHA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0.23101265822784811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0.16335061717284169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oVcs8EHZmecm3+Ea/ICj/pq7e6Db2SzAhBQBOAtG8NlNuRLgp+5matfXAh4sMLR2TqFe482GHL8WO9L0YEhSw==" saltValue="LWDVjrF7+pxgS124HqAF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142hwSFkthP33VLoZx+/Pcj6YQIFoQ+iYvCT/+cdbyCxIrrrZFpcNnnR3xGU7BcfQbYDC7svtLKath9+VRKXiw==" saltValue="VQI4crrDqIf2KOgAiOW8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CALAMOCHA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244</v>
      </c>
      <c r="D12" s="452">
        <f>IF(ISNUMBER(C12/Datos!BH12),C12/Datos!BH12," - ")</f>
        <v>244</v>
      </c>
      <c r="E12" s="451">
        <f>IF(ISNUMBER(IF(J_V="SI",Datos!J12,Datos!J12+Datos!Z12)),IF(J_V="SI",Datos!J12,Datos!J12+Datos!Z12)," - ")</f>
        <v>513</v>
      </c>
      <c r="F12" s="452">
        <f>IF(ISNUMBER(E12/B12),E12/B12," - ")</f>
        <v>513</v>
      </c>
      <c r="G12" s="451">
        <f>IF(ISNUMBER(IF(J_V="SI",Datos!K12,Datos!K12+Datos!AA12)),IF(J_V="SI",Datos!K12,Datos!K12+Datos!AA12)," - ")</f>
        <v>316</v>
      </c>
      <c r="H12" s="452">
        <f>IF(ISNUMBER(G12/B12),G12/B12," - ")</f>
        <v>316</v>
      </c>
      <c r="I12" s="451">
        <f>IF(ISNUMBER(IF(J_V="SI",Datos!L12,Datos!L12+Datos!AB12)),IF(J_V="SI",Datos!L12,Datos!L12+Datos!AB12)," - ")</f>
        <v>447</v>
      </c>
      <c r="J12" s="452">
        <f>IF(ISNUMBER(I12/B12),I12/B12," - ")</f>
        <v>447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244</v>
      </c>
      <c r="D14" s="1147" t="str">
        <f>IF(ISNUMBER(C14/Datos!BI14),C14/Datos!BI14," - ")</f>
        <v xml:space="preserve"> - </v>
      </c>
      <c r="E14" s="1146">
        <f>SUBTOTAL(9,E8:E13)</f>
        <v>514</v>
      </c>
      <c r="F14" s="1147">
        <f>IF(ISNUMBER(E14/B14),E14/B14," - ")</f>
        <v>514</v>
      </c>
      <c r="G14" s="1146">
        <f>SUBTOTAL(9,G8:G13)</f>
        <v>316</v>
      </c>
      <c r="H14" s="1147">
        <f>IF(ISNUMBER(G14/B14),G14/B14," - ")</f>
        <v>316</v>
      </c>
      <c r="I14" s="1146">
        <f>SUBTOTAL(9,I8:I13)</f>
        <v>448</v>
      </c>
      <c r="J14" s="1147">
        <f>IF(ISNUMBER(I14/B14),I14/B14," - ")</f>
        <v>448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125</v>
      </c>
      <c r="D17" s="452">
        <f>IF(ISNUMBER(C17/Datos!BH17),C17/Datos!BH17," - ")</f>
        <v>125</v>
      </c>
      <c r="E17" s="451">
        <f>IF(ISNUMBER(IF(D_I="SI",Datos!J17,Datos!J17+Datos!AD17)),IF(D_I="SI",Datos!J17,Datos!J17+Datos!AD17)," - ")</f>
        <v>728</v>
      </c>
      <c r="F17" s="452">
        <f>IF(ISNUMBER(E17/B17),E17/B17," - ")</f>
        <v>728</v>
      </c>
      <c r="G17" s="451">
        <f>IF(ISNUMBER(IF(D_I="SI",Datos!K17,Datos!K17+Datos!AE17)),IF(D_I="SI",Datos!K17,Datos!K17+Datos!AE17)," - ")</f>
        <v>725</v>
      </c>
      <c r="H17" s="452">
        <f>IF(ISNUMBER(G17/B17),G17/B17," - ")</f>
        <v>725</v>
      </c>
      <c r="I17" s="451">
        <f>IF(ISNUMBER(IF(D_I="SI",Datos!L17,Datos!L17+Datos!AF17)),IF(D_I="SI",Datos!L17,Datos!L17+Datos!AF17)," - ")</f>
        <v>139</v>
      </c>
      <c r="J17" s="452">
        <f>IF(ISNUMBER(I17/B17),I17/B17," - ")</f>
        <v>139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45</v>
      </c>
      <c r="F18" s="452">
        <f>IF(ISNUMBER(E18/B18),E18/B18," - ")</f>
        <v>45</v>
      </c>
      <c r="G18" s="451">
        <f>IF(ISNUMBER(IF(D_I="SI",Datos!K18,Datos!K18+Datos!AE18)),IF(D_I="SI",Datos!K18,Datos!K18+Datos!AE18)," - ")</f>
        <v>54</v>
      </c>
      <c r="H18" s="452">
        <f>IF(ISNUMBER(G18/B18),G18/B18," - ")</f>
        <v>54</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140</v>
      </c>
      <c r="D23" s="1147" t="str">
        <f>IF(ISNUMBER(C23/Datos!BI23),C23/Datos!BI23," - ")</f>
        <v xml:space="preserve"> - </v>
      </c>
      <c r="E23" s="1146">
        <f>SUBTOTAL(9,E15:E22)</f>
        <v>773</v>
      </c>
      <c r="F23" s="1147">
        <f>IF(ISNUMBER(E23/B23),E23/B23," - ")</f>
        <v>773</v>
      </c>
      <c r="G23" s="1146">
        <f>SUBTOTAL(9,G15:G22)</f>
        <v>779</v>
      </c>
      <c r="H23" s="1147">
        <f>IF(ISNUMBER(G23/B23),G23/B23," - ")</f>
        <v>779</v>
      </c>
      <c r="I23" s="1146">
        <f>SUBTOTAL(9,I15:I22)</f>
        <v>147</v>
      </c>
      <c r="J23" s="1147">
        <f>IF(ISNUMBER(I23/B23),I23/B23," - ")</f>
        <v>147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384</v>
      </c>
      <c r="D31" s="1085" t="str">
        <f>IF(ISNUMBER(C31/Datos!BI31),C31/Datos!BI31," - ")</f>
        <v xml:space="preserve"> - </v>
      </c>
      <c r="E31" s="1084">
        <f>SUBTOTAL(9,E9:E30)</f>
        <v>1287</v>
      </c>
      <c r="F31" s="1085">
        <f>IF(ISNUMBER(E31/B31),E31/B31," - ")</f>
        <v>1287</v>
      </c>
      <c r="G31" s="1084">
        <f>SUBTOTAL(9,G9:G30)</f>
        <v>1095</v>
      </c>
      <c r="H31" s="1085">
        <f>IF(ISNUMBER(G31/B31),G31/B31," - ")</f>
        <v>1095</v>
      </c>
      <c r="I31" s="1084">
        <f>SUBTOTAL(9,I9:I30)</f>
        <v>595</v>
      </c>
      <c r="J31" s="1085">
        <f>IF(ISNUMBER(I31/B31),I31/B31," - ")</f>
        <v>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okXnTeErZX8VS+lBCg1u7u+u6zD2pmYNVJXeVxSCZ0ZfvH76yG9EzqAXSDQoqjqv2V4tyt0OXD2EsLQAYKlaw==" saltValue="O9nzynCLdtj2GMr1lxH/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CALAMOCHA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146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15.560126582278482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-0.43007915567282323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216</v>
      </c>
      <c r="AE14" s="1257">
        <f t="shared" si="1"/>
        <v>0</v>
      </c>
      <c r="AF14" s="1257">
        <f t="shared" si="1"/>
        <v>1</v>
      </c>
      <c r="AG14" s="1257">
        <f t="shared" si="1"/>
        <v>0</v>
      </c>
      <c r="AH14" s="1257">
        <f t="shared" si="1"/>
        <v>216</v>
      </c>
      <c r="AI14" s="1257">
        <f t="shared" si="1"/>
        <v>0</v>
      </c>
      <c r="AJ14" s="1257">
        <f t="shared" si="1"/>
        <v>0</v>
      </c>
      <c r="AK14" s="1257">
        <f t="shared" si="1"/>
        <v>0</v>
      </c>
      <c r="AL14" s="1257">
        <f t="shared" si="1"/>
        <v>73</v>
      </c>
      <c r="AM14" s="1257">
        <f t="shared" si="1"/>
        <v>146</v>
      </c>
      <c r="AN14" s="1257">
        <f t="shared" si="1"/>
        <v>0</v>
      </c>
      <c r="AO14" s="1257">
        <f t="shared" si="1"/>
        <v>0</v>
      </c>
      <c r="AP14" s="1262">
        <f>IF(ISNUMBER(((Datos!L14/Datos!K14)*11)/factor_trimestre),((Datos!L14/Datos!K14)*11)/factor_trimestre," - ")</f>
        <v>15.74820143884892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-0.43007915567282323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2.0757381258023107</v>
      </c>
      <c r="AQ23" s="1262">
        <f>IF(ISNUMBER(((Datos!M23/Datos!L23)*11)/factor_trimestre),((Datos!M23/Datos!L23)*11)/factor_trimestre," - ")</f>
        <v>6.0612244897959178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-8.8461538461538466E-2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216</v>
      </c>
      <c r="AE31" s="1284">
        <f t="shared" si="9"/>
        <v>0</v>
      </c>
      <c r="AF31" s="1285">
        <f t="shared" si="9"/>
        <v>1</v>
      </c>
      <c r="AG31" s="1285">
        <f t="shared" si="9"/>
        <v>0</v>
      </c>
      <c r="AH31" s="1285">
        <f t="shared" si="9"/>
        <v>216</v>
      </c>
      <c r="AI31" s="1285">
        <f t="shared" si="9"/>
        <v>0</v>
      </c>
      <c r="AJ31" s="1286">
        <f t="shared" si="9"/>
        <v>0</v>
      </c>
      <c r="AK31" s="1286">
        <f t="shared" si="9"/>
        <v>0</v>
      </c>
      <c r="AL31" s="1278">
        <f t="shared" si="9"/>
        <v>73</v>
      </c>
      <c r="AM31" s="1278">
        <f t="shared" si="9"/>
        <v>146</v>
      </c>
      <c r="AN31" s="1278">
        <f t="shared" si="9"/>
        <v>0</v>
      </c>
      <c r="AO31" s="1278">
        <f t="shared" si="9"/>
        <v>0</v>
      </c>
      <c r="AP31" s="1278">
        <f>IF(ISNUMBER(((Datos!L31/Datos!K31)*11)/factor_trimestre),((Datos!L31/Datos!K31)*11)/factor_trimestre," - ")</f>
        <v>5.6717123935666987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-0.39950980392156865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37.69703790308553</v>
      </c>
      <c r="AM33" s="1006"/>
      <c r="AN33" s="1006">
        <f>IF(ISNUMBER(STDEV(AN8:AN30)),STDEV(AN8:AN30),"-")</f>
        <v>0</v>
      </c>
      <c r="AO33" s="1012">
        <f>IF(ISNUMBER(STDEV(AO8:AO30)),STDEV(AO8:AO30),"-")</f>
        <v>0</v>
      </c>
      <c r="AP33" s="1065">
        <f>IF(ISNUMBER(STDEV(AP8:AP30)),STDEV(AP8:AP30),"-")</f>
        <v>7.8400718241121945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km9ZWitbe9WhNCnvKct/bTtp5/mEuYQGGGu6RzdednHxvYaPbNUNCtWHy0K4fB4SdcGL5doqODNue5e1siD2g==" saltValue="R6ZbPPz1JcOchdKwHaEx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CALAMOCHA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9CNv/iKrjHQdl7flheJBBAEdA5UEoT6FhwfO5o719diTZHOwRn+fGzbZQOZOXhdbXetJJu9uKDM/IP8G+SpDw==" saltValue="iIF20Nl0fTNkTa83M3ZG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CALAMOCHA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73</v>
      </c>
      <c r="E12" s="452">
        <f t="shared" si="0"/>
        <v>73</v>
      </c>
      <c r="F12" s="451">
        <f>IF(ISNUMBER(Datos!N12),Datos!N12," - ")</f>
        <v>146</v>
      </c>
      <c r="G12" s="452">
        <f t="shared" si="1"/>
        <v>146</v>
      </c>
      <c r="H12" s="451">
        <f>IF(ISNUMBER(Datos!O12),Datos!O12," - ")</f>
        <v>116</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73</v>
      </c>
      <c r="E14" s="1147">
        <f t="shared" si="0"/>
        <v>36.5</v>
      </c>
      <c r="F14" s="1146">
        <f>SUBTOTAL(9,F9:F13)</f>
        <v>146</v>
      </c>
      <c r="G14" s="1147">
        <f t="shared" si="1"/>
        <v>73</v>
      </c>
      <c r="H14" s="1146">
        <f>SUBTOTAL(9,H9:H13)</f>
        <v>116</v>
      </c>
      <c r="I14" s="1147">
        <f>IF(ISNUMBER(H14/B14),H14/B14," - ")</f>
        <v>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75</v>
      </c>
      <c r="E17" s="452">
        <f t="shared" si="3"/>
        <v>75</v>
      </c>
      <c r="F17" s="451">
        <f>IF(ISNUMBER(Datos!N17),Datos!N17," - ")</f>
        <v>497</v>
      </c>
      <c r="G17" s="452">
        <f t="shared" si="4"/>
        <v>497</v>
      </c>
      <c r="H17" s="451">
        <f>IF(ISNUMBER(Datos!O17),Datos!O17," - ")</f>
        <v>1</v>
      </c>
      <c r="I17" s="452">
        <f t="shared" si="5"/>
        <v>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81</v>
      </c>
      <c r="E23" s="1147">
        <f t="shared" si="3"/>
        <v>40.5</v>
      </c>
      <c r="F23" s="1146">
        <f>SUBTOTAL(9,F16:F22)</f>
        <v>535</v>
      </c>
      <c r="G23" s="1147">
        <f t="shared" si="4"/>
        <v>267.5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154</v>
      </c>
      <c r="E31" s="1085">
        <f>IF(ISNUMBER(D31/B31),D31/B31," - ")</f>
        <v>154</v>
      </c>
      <c r="F31" s="1084">
        <f>SUBTOTAL(9,F8:F30)</f>
        <v>681</v>
      </c>
      <c r="G31" s="1085">
        <f>IF(ISNUMBER(F31/B31),F31/B31," - ")</f>
        <v>681</v>
      </c>
      <c r="H31" s="1084">
        <f>SUBTOTAL(9,H8:H30)</f>
        <v>117</v>
      </c>
      <c r="I31" s="1085">
        <f>IF(ISNUMBER(H31/B31),H31/B31," - ")</f>
        <v>117</v>
      </c>
    </row>
    <row r="34" spans="1:1">
      <c r="A34" s="439" t="str">
        <f>Criterios!A4</f>
        <v>Fecha Informe: 14 abr. 2023</v>
      </c>
    </row>
    <row r="39" spans="1:1">
      <c r="A39" s="462"/>
    </row>
  </sheetData>
  <sheetProtection algorithmName="SHA-512" hashValue="yGq0z5AulgmXINCI1bx2LlV5De5+eJr8dxajarLFoiey039VmOCoDgejFU45Y/5Ar8f8q6yxvGZiFQcQxCmxGA==" saltValue="fmICyjkTCTTEOizxTD1n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CALAMOCHA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216</v>
      </c>
      <c r="D12" s="456">
        <f>IF(ISNUMBER(Datos!R12),Datos!R12," - ")</f>
        <v>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216</v>
      </c>
      <c r="D14" s="1148">
        <f>SUBTOTAL(9,D9:D13)</f>
        <v>217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5</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5</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221</v>
      </c>
      <c r="D31" s="1090">
        <f>SUBTOTAL(9,D8:D30)</f>
        <v>245</v>
      </c>
    </row>
    <row r="32" spans="1:4" ht="7.5" customHeight="1"/>
    <row r="33" spans="1:1" ht="6" customHeight="1"/>
    <row r="34" spans="1:1">
      <c r="A34" s="439" t="str">
        <f>Criterios!A4</f>
        <v>Fecha Informe: 14 abr. 2023</v>
      </c>
    </row>
    <row r="39" spans="1:1">
      <c r="A39" s="462"/>
    </row>
  </sheetData>
  <sheetProtection algorithmName="SHA-512" hashValue="/6kE2FNgXACmiBQy5v7frYvS4eP1QWHx54XO/HCIaBXKZP5VmfHEmMuv3+G1zPupVvP6w4RJLZPy6wM73RzfhA==" saltValue="kx5vdeJTNoqAuMQqoozU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CALAMOCHA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4.2735042735042736E-2</v>
      </c>
      <c r="C12" s="515">
        <f>IF(ISNUMBER(
   IF(J_V="SI",(Datos!J12-Datos!T12)/Datos!T12,(Datos!J12+Datos!Z12-(Datos!T12+Datos!AH12))/(Datos!T12+Datos!AH12))
     ),IF(J_V="SI",(Datos!J12-Datos!T12)/Datos!T12,(Datos!J12+Datos!Z12-(Datos!T12+Datos!AH12))/(Datos!T12+Datos!AH12))," - ")</f>
        <v>0.29545454545454547</v>
      </c>
      <c r="D12" s="515">
        <f>IF(ISNUMBER(
   IF(J_V="SI",(Datos!K12-Datos!U12)/Datos!U12,(Datos!K12+Datos!AA12-(Datos!U12+Datos!AI12))/(Datos!U12+Datos!AI12))
     ),IF(J_V="SI",(Datos!K12-Datos!U12)/Datos!U12,(Datos!K12+Datos!AA12-(Datos!U12+Datos!AI12))/(Datos!U12+Datos!AI12))," - ")</f>
        <v>-0.2818181818181818</v>
      </c>
      <c r="E12" s="515">
        <f>IF(ISNUMBER(
   IF(J_V="SI",(Datos!L12-Datos!V12)/Datos!V12,(Datos!L12+Datos!AB12-(Datos!V12+Datos!AJ12))/(Datos!V12+Datos!AJ12))
     ),IF(J_V="SI",(Datos!L12-Datos!V12)/Datos!V12,(Datos!L12+Datos!AB12-(Datos!V12+Datos!AJ12))/(Datos!V12+Datos!AJ12))," - ")</f>
        <v>0.83196721311475408</v>
      </c>
      <c r="F12" s="515">
        <f>IF(ISNUMBER((Datos!M12-Datos!W12)/Datos!W12),(Datos!M12-Datos!W12)/Datos!W12," - ")</f>
        <v>-0.29807692307692307</v>
      </c>
      <c r="G12" s="516">
        <f>IF(ISNUMBER((Datos!N12-Datos!X12)/Datos!X12),(Datos!N12-Datos!X12)/Datos!X12," - ")</f>
        <v>4.2857142857142858E-2</v>
      </c>
      <c r="H12" s="514">
        <f>IF(ISNUMBER(((NºAsuntos!G12/NºAsuntos!E12)-Datos!BD12)/Datos!BD12),((NºAsuntos!G12/NºAsuntos!E12)-Datos!BD12)/Datos!BD12," - ")</f>
        <v>-0.44561403508771935</v>
      </c>
      <c r="I12" s="515">
        <f>IF(ISNUMBER(((NºAsuntos!I12/NºAsuntos!G12)-Datos!BE12)/Datos!BE12),((NºAsuntos!I12/NºAsuntos!G12)-Datos!BE12)/Datos!BE12," - ")</f>
        <v>1.5508404233243411</v>
      </c>
      <c r="J12" s="521">
        <f>IF(ISNUMBER((('Resol  Asuntos'!D12/NºAsuntos!G12)-Datos!BF12)/Datos!BF12),(('Resol  Asuntos'!D12/NºAsuntos!G12)-Datos!BF12)/Datos!BF12," - ")</f>
        <v>-0.27396021699819162</v>
      </c>
      <c r="K12" s="522">
        <f>IF(ISNUMBER((((NºAsuntos!C12+NºAsuntos!E12)/NºAsuntos!G12)-Datos!BG12)/Datos!BG12),(((NºAsuntos!C12+NºAsuntos!E12)/NºAsuntos!G12)-Datos!BG12)/Datos!BG12," - ")</f>
        <v>0.67309624271649571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2.0920502092050208E-2</v>
      </c>
      <c r="C14" s="1152">
        <f>IF(ISNUMBER(
   IF(J_V="SI",(Datos!J14-Datos!T14)/Datos!T14,(Datos!J14+Datos!Z14-(Datos!T14+Datos!AH14))/(Datos!T14+Datos!AH14))
     ),IF(J_V="SI",(Datos!J14-Datos!T14)/Datos!T14,(Datos!J14+Datos!Z14-(Datos!T14+Datos!AH14))/(Datos!T14+Datos!AH14))," - ")</f>
        <v>0.29797979797979796</v>
      </c>
      <c r="D14" s="1152">
        <f>IF(ISNUMBER(
   IF(J_V="SI",(Datos!K14-Datos!U14)/Datos!U14,(Datos!K14+Datos!AA14-(Datos!U14+Datos!AI14))/(Datos!U14+Datos!AI14))
     ),IF(J_V="SI",(Datos!K14-Datos!U14)/Datos!U14,(Datos!K14+Datos!AA14-(Datos!U14+Datos!AI14))/(Datos!U14+Datos!AI14))," - ")</f>
        <v>-0.2818181818181818</v>
      </c>
      <c r="E14" s="1152">
        <f>IF(ISNUMBER(
   IF(J_V="SI",(Datos!L14-Datos!V14)/Datos!V14,(Datos!L14+Datos!AB14-(Datos!V14+Datos!AJ14))/(Datos!V14+Datos!AJ14))
     ),IF(J_V="SI",(Datos!L14-Datos!V14)/Datos!V14,(Datos!L14+Datos!AB14-(Datos!V14+Datos!AJ14))/(Datos!V14+Datos!AJ14))," - ")</f>
        <v>0.83606557377049184</v>
      </c>
      <c r="F14" s="1153">
        <f>IF(ISNUMBER((Datos!M14-Datos!W14)/Datos!W14),(Datos!M14-Datos!W14)/Datos!W14," - ")</f>
        <v>-0.29807692307692307</v>
      </c>
      <c r="G14" s="1154">
        <f>IF(ISNUMBER((Datos!N14-Datos!X14)/Datos!X14),(Datos!N14-Datos!X14)/Datos!X14," - ")</f>
        <v>4.2857142857142858E-2</v>
      </c>
      <c r="H14" s="1154">
        <f>IF(ISNUMBER(((NºAsuntos!G14/NºAsuntos!E14)-Datos!BD14)/Datos!BD14),((NºAsuntos!G14/NºAsuntos!E14)-Datos!BD14)/Datos!BD14," - ")</f>
        <v>-0.44669260700389102</v>
      </c>
      <c r="I14" s="1154">
        <f>IF(ISNUMBER(((NºAsuntos!I14/NºAsuntos!G14)-Datos!BE14)/Datos!BE14),((NºAsuntos!I14/NºAsuntos!G14)-Datos!BE14)/Datos!BE14," - ")</f>
        <v>1.5565470014525835</v>
      </c>
      <c r="J14" s="1154">
        <f>IF(ISNUMBER((('Resol  Asuntos'!D14/NºAsuntos!G14)-Datos!BF14)/Datos!BF14),(('Resol  Asuntos'!D14/NºAsuntos!G14)-Datos!BF14)/Datos!BF14," - ")</f>
        <v>-0.27396021699819162</v>
      </c>
      <c r="K14" s="1154">
        <f>IF(ISNUMBER((((NºAsuntos!C14+NºAsuntos!E14)/NºAsuntos!G14)-Datos!BG14)/Datos!BG14),(((NºAsuntos!C14+NºAsuntos!E14)/NºAsuntos!G14)-Datos!BG14)/Datos!BG14," - ")</f>
        <v>0.66211502043257253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-0.43438914027149322</v>
      </c>
      <c r="C17" s="515">
        <f>IF(ISNUMBER(
   IF(D_I="SI",(Datos!J17-Datos!T17)/Datos!T17,(Datos!J17+Datos!AD17-(Datos!T17+Datos!AL17))/(Datos!T17+Datos!AL17))
     ),IF(D_I="SI",(Datos!J17-Datos!T17)/Datos!T17,(Datos!J17+Datos!AD17-(Datos!T17+Datos!AL17))/(Datos!T17+Datos!AL17))," - ")</f>
        <v>9.6385542168674704E-2</v>
      </c>
      <c r="D17" s="515">
        <f>IF(ISNUMBER(
   IF(D_I="SI",(Datos!K17-Datos!U17)/Datos!U17,(Datos!K17+Datos!AE17-(Datos!U17+Datos!AM17))/(Datos!U17+Datos!AM17))
     ),IF(D_I="SI",(Datos!K17-Datos!U17)/Datos!U17,(Datos!K17+Datos!AE17-(Datos!U17+Datos!AM17))/(Datos!U17+Datos!AM17))," - ")</f>
        <v>0.10518292682926829</v>
      </c>
      <c r="E17" s="515">
        <f>IF(ISNUMBER(
   IF(D_I="SI",(Datos!L17-Datos!V17)/Datos!V17,(Datos!L17+Datos!AF17-(Datos!V17+Datos!AN17))/(Datos!V17+Datos!AN17))
     ),IF(D_I="SI",(Datos!L17-Datos!V17)/Datos!V17,(Datos!L17+Datos!AF17-(Datos!V17+Datos!AN17))/(Datos!V17+Datos!AN17))," - ")</f>
        <v>0.112</v>
      </c>
      <c r="F17" s="515">
        <f>IF(ISNUMBER((Datos!M17-Datos!W17)/Datos!W17),(Datos!M17-Datos!W17)/Datos!W17," - ")</f>
        <v>-3.8461538461538464E-2</v>
      </c>
      <c r="G17" s="516">
        <f>IF(ISNUMBER((Datos!N17-Datos!X17)/Datos!X17),(Datos!N17-Datos!X17)/Datos!X17," - ")</f>
        <v>0.10444444444444445</v>
      </c>
      <c r="H17" s="514">
        <f>IF(ISNUMBER(((NºAsuntos!G17/NºAsuntos!E17)-Datos!BD17)/Datos!BD17),((NºAsuntos!G17/NºAsuntos!E17)-Datos!BD17)/Datos!BD17," - ")</f>
        <v>8.0239882069150902E-3</v>
      </c>
      <c r="I17" s="515">
        <f>IF(ISNUMBER(((NºAsuntos!I17/NºAsuntos!G17)-Datos!BE17)/Datos!BE17),((NºAsuntos!I17/NºAsuntos!G17)-Datos!BE17)/Datos!BE17," - ")</f>
        <v>6.1682758620689813E-3</v>
      </c>
      <c r="J17" s="521">
        <f>IF(ISNUMBER((('Resol  Asuntos'!D17/NºAsuntos!G17)-Datos!BF17)/Datos!BF17),(('Resol  Asuntos'!D17/NºAsuntos!G17)-Datos!BF17)/Datos!BF17," - ")</f>
        <v>-0.12997347480106097</v>
      </c>
      <c r="K17" s="522">
        <f>IF(ISNUMBER((((NºAsuntos!C17+NºAsuntos!E17)/NºAsuntos!G17)-Datos!BG17)/Datos!BG17),(((NºAsuntos!C17+NºAsuntos!E17)/NºAsuntos!G17)-Datos!BG17)/Datos!BG17," - ")</f>
        <v>-0.12788934346386127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-6.25E-2</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0.45945945945945948</v>
      </c>
      <c r="E18" s="515">
        <f>IF(ISNUMBER(
   IF(D_I="SI",(Datos!L18-Datos!V18)/Datos!V18,(Datos!L18+Datos!AF18-(Datos!V18+Datos!AN18))/(Datos!V18+Datos!AN18))
     ),IF(D_I="SI",(Datos!L18-Datos!V18)/Datos!V18,(Datos!L18+Datos!AF18-(Datos!V18+Datos!AN18))/(Datos!V18+Datos!AN18))," - ")</f>
        <v>-0.46666666666666667</v>
      </c>
      <c r="F18" s="515">
        <f>IF(ISNUMBER((Datos!M18-Datos!W18)/Datos!W18),(Datos!M18-Datos!W18)/Datos!W18," - ")</f>
        <v>1</v>
      </c>
      <c r="G18" s="516">
        <f>IF(ISNUMBER((Datos!N18-Datos!X18)/Datos!X18),(Datos!N18-Datos!X18)/Datos!X18," - ")</f>
        <v>0.1875</v>
      </c>
      <c r="H18" s="514">
        <f>IF(ISNUMBER(((NºAsuntos!G18/NºAsuntos!E18)-Datos!BD18)/Datos!BD18),((NºAsuntos!G18/NºAsuntos!E18)-Datos!BD18)/Datos!BD18," - ")</f>
        <v>0.55675675675675662</v>
      </c>
      <c r="I18" s="515">
        <f>IF(ISNUMBER(((NºAsuntos!I18/NºAsuntos!G18)-Datos!BE18)/Datos!BE18),((NºAsuntos!I18/NºAsuntos!G18)-Datos!BE18)/Datos!BE18," - ")</f>
        <v>-0.63456790123456797</v>
      </c>
      <c r="J18" s="521">
        <f>IF(ISNUMBER((('Resol  Asuntos'!D18/NºAsuntos!G18)-Datos!BF18)/Datos!BF18),(('Resol  Asuntos'!D18/NºAsuntos!G18)-Datos!BF18)/Datos!BF18," - ")</f>
        <v>0.37037037037037024</v>
      </c>
      <c r="K18" s="522">
        <f>IF(ISNUMBER((((NºAsuntos!C18+NºAsuntos!E18)/NºAsuntos!G18)-Datos!BG18)/Datos!BG18),(((NºAsuntos!C18+NºAsuntos!E18)/NºAsuntos!G18)-Datos!BG18)/Datos!BG18," - ")</f>
        <v>-0.3576388888888889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-0.40928270042194093</v>
      </c>
      <c r="C23" s="1152">
        <f>IF(ISNUMBER(
   IF(Criterios!B14="SI",(Datos!J23-Datos!T23)/Datos!T23,(Datos!J23+Datos!AD23-(Datos!T23+Datos!AL23))/(Datos!T23+Datos!AL23))
     ),IF(Criterios!B14="SI",(Datos!J23-Datos!T23)/Datos!T23,(Datos!J23+Datos!AD23-(Datos!T23+Datos!AL23))/(Datos!T23+Datos!AL23))," - ")</f>
        <v>8.5674157303370788E-2</v>
      </c>
      <c r="D23" s="1152">
        <f>IF(ISNUMBER(
   IF(Criterios!B14="SI",(Datos!K23-Datos!U23)/Datos!U23,(Datos!K23+Datos!AE23-(Datos!U23+Datos!AM23))/(Datos!U23+Datos!AM23))
     ),IF(Criterios!B14="SI",(Datos!K23-Datos!U23)/Datos!U23,(Datos!K23+Datos!AE23-(Datos!U23+Datos!AM23))/(Datos!U23+Datos!AM23))," - ")</f>
        <v>0.1240981240981241</v>
      </c>
      <c r="E23" s="1152">
        <f>IF(ISNUMBER(
   IF(Criterios!B14="SI",(Datos!L23-Datos!V23)/Datos!V23,(Datos!L23+Datos!AF23-(Datos!V23+Datos!AN23))/(Datos!V23+Datos!AN23))
     ),IF(Criterios!B14="SI",(Datos!L23-Datos!V23)/Datos!V23,(Datos!L23+Datos!AF23-(Datos!V23+Datos!AN23))/(Datos!V23+Datos!AN23))," - ")</f>
        <v>0.05</v>
      </c>
      <c r="F23" s="1153">
        <f>IF(ISNUMBER((Datos!M23-Datos!W23)/Datos!W23),(Datos!M23-Datos!W23)/Datos!W23," - ")</f>
        <v>0</v>
      </c>
      <c r="G23" s="1154">
        <f>IF(ISNUMBER((Datos!N23-Datos!X23)/Datos!X23),(Datos!N23-Datos!X23)/Datos!X23," - ")</f>
        <v>0.10995850622406639</v>
      </c>
      <c r="H23" s="1154">
        <f>IF(ISNUMBER(((NºAsuntos!G23/NºAsuntos!E23)-Datos!BD23)/Datos!BD23),((NºAsuntos!G23/NºAsuntos!E23)-Datos!BD23)/Datos!BD23," - ")</f>
        <v>3.539180382647409E-2</v>
      </c>
      <c r="I23" s="1154">
        <f>IF(ISNUMBER(((NºAsuntos!I23/NºAsuntos!G23)-Datos!BE23)/Datos!BE23),((NºAsuntos!I23/NºAsuntos!G23)-Datos!BE23)/Datos!BE23," - ")</f>
        <v>-6.5917843388960146E-2</v>
      </c>
      <c r="J23" s="1154">
        <f>IF(ISNUMBER((('Resol  Asuntos'!D23/NºAsuntos!G23)-Datos!BF23)/Datos!BF23),(('Resol  Asuntos'!D23/NºAsuntos!G23)-Datos!BF23)/Datos!BF23," - ")</f>
        <v>-0.11039794608472399</v>
      </c>
      <c r="K23" s="1154">
        <f>IF(ISNUMBER((((NºAsuntos!C23+NºAsuntos!E23)/NºAsuntos!G23)-Datos!BG23)/Datos!BG23),(((NºAsuntos!C23+NºAsuntos!E23)/NºAsuntos!G23)-Datos!BG23)/Datos!BG23," - ")</f>
        <v>-0.14414470471586205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-0.19327731092436976</v>
      </c>
      <c r="C31" s="1092">
        <f>IF(ISNUMBER(
   IF(J_V="SI",(Datos!J31-Datos!T31)/Datos!T31,(Datos!J31+Datos!Z31-(Datos!T31+Datos!AH31))/(Datos!T31+Datos!AH31))
     ),IF(J_V="SI",(Datos!J31-Datos!T31)/Datos!T31,(Datos!J31+Datos!Z31-(Datos!T31+Datos!AH31))/(Datos!T31+Datos!AH31))," - ")</f>
        <v>0.1615523465703971</v>
      </c>
      <c r="D31" s="1092">
        <f>IF(ISNUMBER(
   IF(J_V="SI",(Datos!K31-Datos!U31)/Datos!U31,(Datos!K31+Datos!AA31-(Datos!U31+Datos!AI31))/(Datos!U31+Datos!AI31))
     ),IF(J_V="SI",(Datos!K31-Datos!U31)/Datos!U31,(Datos!K31+Datos!AA31-(Datos!U31+Datos!AI31))/(Datos!U31+Datos!AI31))," - ")</f>
        <v>-3.3539276257722857E-2</v>
      </c>
      <c r="E31" s="1092">
        <f>IF(ISNUMBER(
   IF(J_V="SI",(Datos!L31-Datos!V31)/Datos!V31,(Datos!L31+Datos!AB31-(Datos!V31+Datos!AJ31))/(Datos!V31+Datos!AJ31))
     ),IF(J_V="SI",(Datos!L31-Datos!V31)/Datos!V31,(Datos!L31+Datos!AB31-(Datos!V31+Datos!AJ31))/(Datos!V31+Datos!AJ31))," - ")</f>
        <v>0.54947916666666663</v>
      </c>
      <c r="F31" s="1093">
        <f>IF(ISNUMBER((Datos!M31-Datos!W31)/Datos!W31),(Datos!M31-Datos!W31)/Datos!W31," - ")</f>
        <v>-0.16756756756756758</v>
      </c>
      <c r="G31" s="1094">
        <f>IF(ISNUMBER((Datos!N31-Datos!X31)/Datos!X31),(Datos!N31-Datos!X31)/Datos!X31," - ")</f>
        <v>9.4855305466237938E-2</v>
      </c>
      <c r="H31" s="1095">
        <f>IF(ISNUMBER((Tasas!B31-Datos!BD31)/Datos!BD31),(Tasas!B31-Datos!BD31)/Datos!BD31," - ")</f>
        <v>-0.16795766751636138</v>
      </c>
      <c r="I31" s="1096">
        <f>IF(ISNUMBER((Tasas!C31-Datos!BE31)/Datos!BE31),(Tasas!C31-Datos!BE31)/Datos!BE31," - ")</f>
        <v>0.60325104642313543</v>
      </c>
      <c r="J31" s="1097">
        <f>IF(ISNUMBER((Tasas!D31-Datos!BF31)/Datos!BF31),(Tasas!D31-Datos!BF31)/Datos!BF31," - ")</f>
        <v>-0.27898510299799584</v>
      </c>
      <c r="K31" s="1097">
        <f>IF(ISNUMBER((Tasas!E31-Datos!BG31)/Datos!BG31),(Tasas!E31-Datos!BG31)/Datos!BG31," - ")</f>
        <v>9.1533485540334858E-2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Y1DvCEDJdCp8T7NNqYM7l8yVA3SRQeymxTcYTMaOzLqJh1j6KnxBdMyE0AaRhcDjppSa3w0Negum0bPSpUZXQ==" saltValue="mCASM0QEaub2ks+a72AW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CALAMOCHA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0.61598440545808963</v>
      </c>
      <c r="C12" s="498">
        <f>IF(ISNUMBER(NºAsuntos!I12/NºAsuntos!G12),NºAsuntos!I12/NºAsuntos!G12," - ")</f>
        <v>1.4145569620253164</v>
      </c>
      <c r="D12" s="499">
        <f>IF(ISNUMBER('Resol  Asuntos'!D12/NºAsuntos!G12),'Resol  Asuntos'!D12/NºAsuntos!G12," - ")</f>
        <v>0.23101265822784811</v>
      </c>
      <c r="E12" s="500">
        <f>IF(ISNUMBER((NºAsuntos!C12+NºAsuntos!E12)/NºAsuntos!G12),(NºAsuntos!C12+NºAsuntos!E12)/NºAsuntos!G12," - ")</f>
        <v>2.3955696202531644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0.61478599221789887</v>
      </c>
      <c r="C14" s="1156">
        <f>IF(ISNUMBER(NºAsuntos!I14/NºAsuntos!G14),NºAsuntos!I14/NºAsuntos!G14," - ")</f>
        <v>1.4177215189873418</v>
      </c>
      <c r="D14" s="1157">
        <f>IF(ISNUMBER('Resol  Asuntos'!D14/NºAsuntos!G14),'Resol  Asuntos'!D14/NºAsuntos!G14," - ")</f>
        <v>0.23101265822784811</v>
      </c>
      <c r="E14" s="1158">
        <f>IF(ISNUMBER((NºAsuntos!C14+NºAsuntos!E14)/NºAsuntos!G14),(NºAsuntos!C14+NºAsuntos!E14)/NºAsuntos!G14," - ")</f>
        <v>2.3987341772151898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0.99587912087912089</v>
      </c>
      <c r="C17" s="498">
        <f>IF(ISNUMBER(NºAsuntos!I17/NºAsuntos!G17),NºAsuntos!I17/NºAsuntos!G17," - ")</f>
        <v>0.19172413793103449</v>
      </c>
      <c r="D17" s="499">
        <f>IF(ISNUMBER('Resol  Asuntos'!D17/NºAsuntos!G17),'Resol  Asuntos'!D17/NºAsuntos!G17," - ")</f>
        <v>0.10344827586206896</v>
      </c>
      <c r="E17" s="500">
        <f>IF(ISNUMBER((NºAsuntos!C17+NºAsuntos!E17)/NºAsuntos!G17),(NºAsuntos!C17+NºAsuntos!E17)/NºAsuntos!G17," - ")</f>
        <v>1.1765517241379311</v>
      </c>
      <c r="G17" s="523"/>
    </row>
    <row r="18" spans="1:7">
      <c r="A18" s="450" t="str">
        <f>Datos!A18</f>
        <v>Jdos. Violencia contra la mujer</v>
      </c>
      <c r="B18" s="497">
        <f>IF(ISNUMBER(NºAsuntos!G18/NºAsuntos!E18),NºAsuntos!G18/NºAsuntos!E18," - ")</f>
        <v>1.2</v>
      </c>
      <c r="C18" s="498">
        <f>IF(ISNUMBER(NºAsuntos!I18/NºAsuntos!G18),NºAsuntos!I18/NºAsuntos!G18," - ")</f>
        <v>0.14814814814814814</v>
      </c>
      <c r="D18" s="499">
        <f>IF(ISNUMBER('Resol  Asuntos'!D18/NºAsuntos!G18),'Resol  Asuntos'!D18/NºAsuntos!G18," - ")</f>
        <v>0.1111111111111111</v>
      </c>
      <c r="E18" s="500">
        <f>IF(ISNUMBER((NºAsuntos!C18+NºAsuntos!E18)/NºAsuntos!G18),(NºAsuntos!C18+NºAsuntos!E18)/NºAsuntos!G18," - ")</f>
        <v>1.1111111111111112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1.0077619663648125</v>
      </c>
      <c r="C23" s="1156">
        <f>IF(ISNUMBER(NºAsuntos!I23/NºAsuntos!G23),NºAsuntos!I23/NºAsuntos!G23," - ")</f>
        <v>0.18870346598202825</v>
      </c>
      <c r="D23" s="1159">
        <f>IF(ISNUMBER('Resol  Asuntos'!D23/NºAsuntos!G23),'Resol  Asuntos'!D23/NºAsuntos!G23," - ")</f>
        <v>0.10397946084724005</v>
      </c>
      <c r="E23" s="1158">
        <f>IF(ISNUMBER((NºAsuntos!C23+NºAsuntos!E23)/NºAsuntos!G23),(NºAsuntos!C23+NºAsuntos!E23)/NºAsuntos!G23," - ")</f>
        <v>1.1720154043645699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0.85081585081585076</v>
      </c>
      <c r="C31" s="1099">
        <f>IF(ISNUMBER(NºAsuntos!I31/NºAsuntos!G31),NºAsuntos!I31/NºAsuntos!G31," - ")</f>
        <v>0.54337899543378998</v>
      </c>
      <c r="D31" s="1100">
        <f>IF(ISNUMBER('Resol  Asuntos'!D31/NºAsuntos!G31),'Resol  Asuntos'!D31/NºAsuntos!G31," - ")</f>
        <v>0.14063926940639268</v>
      </c>
      <c r="E31" s="1101">
        <f>IF(ISNUMBER((NºAsuntos!C31+NºAsuntos!E31)/NºAsuntos!G31),(NºAsuntos!C31+NºAsuntos!E31)/NºAsuntos!G31," - ")</f>
        <v>1.526027397260274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2DnpjBksv2BaT/VyAqK3+5Kctkhr7s9AFmQb6B1AtN30NoHjGYY5rYEMie1bBGndegku3qMNrn7dg+akT34yQ==" saltValue="5ZWzJ0FXlO0Jxh7QmMdB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CALAMOCHA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216</v>
      </c>
      <c r="Y12" s="374">
        <f t="shared" si="0"/>
        <v>216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0.61598440545808963</v>
      </c>
      <c r="AM12" s="284">
        <f>IF(ISNUMBER(((NºAsuntos!I12/NºAsuntos!G12)*11)/factor_trimestre),((NºAsuntos!I12/NºAsuntos!G12)*11)/factor_trimestre," - ")</f>
        <v>15.560126582278482</v>
      </c>
      <c r="AN12" s="267">
        <f>IF(ISNUMBER('Resol  Asuntos'!D12/NºAsuntos!G12),'Resol  Asuntos'!D12/NºAsuntos!G12," - ")</f>
        <v>0.23101265822784811</v>
      </c>
      <c r="AO12" s="268">
        <f>IF(ISNUMBER((NºAsuntos!C12+NºAsuntos!E12)/NºAsuntos!G12),(NºAsuntos!C12+NºAsuntos!E12)/NºAsuntos!G12," - ")</f>
        <v>2.3955696202531644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216</v>
      </c>
      <c r="Y14" s="1165">
        <f t="shared" si="6"/>
        <v>216</v>
      </c>
      <c r="Z14" s="1165">
        <f t="shared" si="6"/>
        <v>0</v>
      </c>
      <c r="AA14" s="1165">
        <f t="shared" si="6"/>
        <v>1</v>
      </c>
      <c r="AB14" s="1165">
        <f t="shared" si="6"/>
        <v>217</v>
      </c>
      <c r="AC14" s="1165">
        <f t="shared" si="6"/>
        <v>2</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0.61478599221789887</v>
      </c>
      <c r="AM14" s="1171">
        <f>IF(ISNUMBER(((NºAsuntos!I14/NºAsuntos!G14)*11)/factor_trimestre),((NºAsuntos!I14/NºAsuntos!G14)*11)/factor_trimestre," - ")</f>
        <v>15.594936708860759</v>
      </c>
      <c r="AN14" s="1172">
        <f>IF(ISNUMBER('Resol  Asuntos'!D14/NºAsuntos!G14),'Resol  Asuntos'!D14/NºAsuntos!G14," - ")</f>
        <v>0.23101265822784811</v>
      </c>
      <c r="AO14" s="1173">
        <f>IF(ISNUMBER((NºAsuntos!C14+NºAsuntos!E14)/NºAsuntos!G14),(NºAsuntos!C14+NºAsuntos!E14)/NºAsuntos!G14," - ")</f>
        <v>2.3987341772151898</v>
      </c>
      <c r="AP14" s="1174" t="str">
        <f t="shared" si="2"/>
        <v xml:space="preserve"> - </v>
      </c>
      <c r="AQ14" s="1174" t="str">
        <f>IF(ISNUMBER((H14-W14+K14)/(F14)),(H14-W14+K14)/(F14)," - ")</f>
        <v xml:space="preserve"> - </v>
      </c>
      <c r="AR14" s="1175">
        <f>IF(ISNUMBER((Datos!P14-Datos!Q14)/(Datos!R14-Datos!P14+Datos!Q14)),(Datos!P14-Datos!Q14)/(Datos!R14-Datos!P14+Datos!Q14)," - ")</f>
        <v>-0.42894736842105263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136</v>
      </c>
      <c r="G17" s="373">
        <f>IF(ISNUMBER(IF(D_I="SI",Datos!I17,Datos!I17+Datos!AC17)),IF(D_I="SI",Datos!I17,Datos!I17+Datos!AC17)," - ")</f>
        <v>125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725</v>
      </c>
      <c r="X17" s="240">
        <f>IF(ISNUMBER(Datos!Q17),Datos!Q17," - ")</f>
        <v>5</v>
      </c>
      <c r="Y17" s="374">
        <f t="shared" ref="Y17:Y22" si="9">SUM(W17:X17)</f>
        <v>730</v>
      </c>
      <c r="Z17" s="375" t="str">
        <f>IF(ISNUMBER(Datos!CC17),Datos!CC17," - ")</f>
        <v xml:space="preserve"> - </v>
      </c>
      <c r="AA17" s="372">
        <f>IF(ISNUMBER(IF(D_I="SI",Datos!L17,Datos!L17+Datos!AF17)),IF(D_I="SI",Datos!L17,Datos!L17+Datos!AF17)," - ")</f>
        <v>139</v>
      </c>
      <c r="AB17" s="374">
        <f>IF(ISNUMBER(Datos!R17),Datos!R17," - ")</f>
        <v>27</v>
      </c>
      <c r="AC17" s="374">
        <f t="shared" si="8"/>
        <v>166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0.99587912087912089</v>
      </c>
      <c r="AM17" s="284">
        <f>IF(ISNUMBER(((NºAsuntos!I17/NºAsuntos!G17)*11)/factor_trimestre),((NºAsuntos!I17/NºAsuntos!G17)*11)/factor_trimestre," - ")</f>
        <v>2.1089655172413795</v>
      </c>
      <c r="AN17" s="267">
        <f>IF(ISNUMBER('Resol  Asuntos'!D17/NºAsuntos!G17),'Resol  Asuntos'!D17/NºAsuntos!G17," - ")</f>
        <v>0.10344827586206896</v>
      </c>
      <c r="AO17" s="268">
        <f>IF(ISNUMBER((NºAsuntos!C17+NºAsuntos!E17)/NºAsuntos!G17),(NºAsuntos!C17+NºAsuntos!E17)/NºAsuntos!G17," - ")</f>
        <v>1.1765517241379311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8</v>
      </c>
      <c r="AB18" s="374">
        <f>IF(ISNUMBER(Datos!R18),Datos!R18," - ")</f>
        <v>1</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1.6296296296296295</v>
      </c>
      <c r="AN18" s="267">
        <f>IF(ISNUMBER('Resol  Asuntos'!D18/NºAsuntos!G18),'Resol  Asuntos'!D18/NºAsuntos!G18," - ")</f>
        <v>0.1111111111111111</v>
      </c>
      <c r="AO18" s="268">
        <f>IF(ISNUMBER((NºAsuntos!C18+NºAsuntos!E18)/NºAsuntos!G18),(NºAsuntos!C18+NºAsuntos!E18)/NºAsuntos!G18," - ")</f>
        <v>1.1111111111111112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136</v>
      </c>
      <c r="G23" s="1163">
        <f>SUBTOTAL(9,G16:G22)</f>
        <v>140</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779</v>
      </c>
      <c r="X23" s="1164">
        <f t="shared" si="14"/>
        <v>5</v>
      </c>
      <c r="Y23" s="1165">
        <f t="shared" si="14"/>
        <v>784</v>
      </c>
      <c r="Z23" s="1165">
        <f t="shared" si="14"/>
        <v>0</v>
      </c>
      <c r="AA23" s="1165">
        <f t="shared" si="14"/>
        <v>147</v>
      </c>
      <c r="AB23" s="1165">
        <f t="shared" si="14"/>
        <v>28</v>
      </c>
      <c r="AC23" s="1165">
        <f t="shared" si="14"/>
        <v>175</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1.0077619663648125</v>
      </c>
      <c r="AM23" s="1171">
        <f>IF(ISNUMBER(((NºAsuntos!I23/NºAsuntos!G23)*11)/factor_trimestre),((NºAsuntos!I23/NºAsuntos!G23)*11)/factor_trimestre," - ")</f>
        <v>2.0757381258023107</v>
      </c>
      <c r="AN23" s="1172">
        <f>IF(ISNUMBER('Resol  Asuntos'!D23/NºAsuntos!G23),'Resol  Asuntos'!D23/NºAsuntos!G23," - ")</f>
        <v>0.10397946084724005</v>
      </c>
      <c r="AO23" s="1173">
        <f>IF(ISNUMBER((NºAsuntos!C23+NºAsuntos!E23)/NºAsuntos!G23),(NºAsuntos!C23+NºAsuntos!E23)/NºAsuntos!G23," - ")</f>
        <v>1.1720154043645699</v>
      </c>
      <c r="AP23" s="1174" t="str">
        <f t="shared" si="2"/>
        <v xml:space="preserve"> - </v>
      </c>
      <c r="AQ23" s="1174">
        <f>IF(ISNUMBER((H23-W23+K23)/(F23)),(H23-W23+K23)/(F23)," - ")</f>
        <v>-5.7279411764705879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136</v>
      </c>
      <c r="G31" s="1118">
        <f t="shared" si="20"/>
        <v>140</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779</v>
      </c>
      <c r="X31" s="1118">
        <f t="shared" si="21"/>
        <v>221</v>
      </c>
      <c r="Y31" s="1125">
        <f t="shared" si="21"/>
        <v>1000</v>
      </c>
      <c r="Z31" s="1125">
        <f t="shared" si="21"/>
        <v>0</v>
      </c>
      <c r="AA31" s="1125">
        <f t="shared" si="21"/>
        <v>148</v>
      </c>
      <c r="AB31" s="1125">
        <f t="shared" si="21"/>
        <v>245</v>
      </c>
      <c r="AC31" s="1125">
        <f t="shared" si="21"/>
        <v>177</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0.85081585081585076</v>
      </c>
      <c r="AM31" s="1184">
        <f>IF(ISNUMBER(((NºAsuntos!I31/NºAsuntos!G31)*11)/factor_trimestre),((NºAsuntos!I31/NºAsuntos!G31)*11)/factor_trimestre," - ")</f>
        <v>5.9771689497716896</v>
      </c>
      <c r="AN31" s="1184">
        <f>IF(ISNUMBER('Resol  Asuntos'!D31/NºAsuntos!G31),'Resol  Asuntos'!D31/NºAsuntos!G31," - ")</f>
        <v>0.14063926940639268</v>
      </c>
      <c r="AO31" s="1185">
        <f>IF(ISNUMBER((NºAsuntos!C31+NºAsuntos!E31)/NºAsuntos!G31),(NºAsuntos!C31+NºAsuntos!E31)/NºAsuntos!G31," - ")</f>
        <v>1.526027397260274</v>
      </c>
      <c r="AP31" s="1186" t="str">
        <f t="shared" si="2"/>
        <v xml:space="preserve"> - </v>
      </c>
      <c r="AQ31" s="1187">
        <f>IF(OR(ISNUMBER(FIND("01",Criterios!A8,1)),ISNUMBER(FIND("02",Criterios!A8,1)),ISNUMBER(FIND("03",Criterios!A8,1)),ISNUMBER(FIND("04",Criterios!A8,1))),(I31-W31+K31)/(F31-K31),(H31-W31+K31)/(F31-K31))</f>
        <v>-5.7279411764705879</v>
      </c>
      <c r="AR31" s="1188">
        <f>IF(ISNUMBER((Datos!P31-Datos!Q31)/(Datos!R31-Datos!P31+Datos!Q31)),(Datos!P31-Datos!Q31)/(Datos!R31-Datos!P31+Datos!Q31)," - ")</f>
        <v>-0.39950980392156865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70.230098011227824</v>
      </c>
      <c r="G33" s="277">
        <f>IF(ISNUMBER(STDEV(G8:G30)),STDEV(G8:G30),"-")</f>
        <v>63.574103742535499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362.54096648648192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39.680869806134901</v>
      </c>
      <c r="AJ33" s="276">
        <f t="shared" si="25"/>
        <v>0</v>
      </c>
      <c r="AK33" s="278">
        <f t="shared" si="25"/>
        <v>0</v>
      </c>
      <c r="AL33" s="273">
        <f t="shared" si="25"/>
        <v>0.43067941797065923</v>
      </c>
      <c r="AM33" s="274">
        <f t="shared" si="25"/>
        <v>7.4730256723934181</v>
      </c>
      <c r="AN33" s="274">
        <f t="shared" si="25"/>
        <v>6.8440789522480339E-2</v>
      </c>
      <c r="AO33" s="275">
        <f t="shared" si="25"/>
        <v>0.68181697206804026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zly6VGwgaApT7WeFvrnUCoYU8ocoCqrlprN06iBOjuDflYKF3xQrSW8I4Bd/DJNj/TUm3Rcki0kvuNai6MeDA==" saltValue="aG9dK6kOAhMTI9TBuoyo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CALAMOCHA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-0.29807692307692307</v>
      </c>
      <c r="I12" s="395">
        <f>IF(ISNUMBER((Tasas!C12-Datos!BE12)/Datos!BE12),(Tasas!C12-Datos!BE12)/Datos!BE12," - ")</f>
        <v>1.5508404233243411</v>
      </c>
      <c r="J12" s="394">
        <f>IF(ISNUMBER((Tasas!D12-Datos!BF12)/Datos!BF12),(Tasas!D12-Datos!BF12)/Datos!BF12," - ")</f>
        <v>-0.27396021699819162</v>
      </c>
      <c r="K12" s="396">
        <f>IF(ISNUMBER((Tasas!E12-Datos!BG12)/Datos!BG12),(Tasas!E12-Datos!BG12)/Datos!BG12," - ")</f>
        <v>0.67309624271649571</v>
      </c>
      <c r="M12" t="e">
        <f>IF(Monitorios="SI",Datos!CE12,0)</f>
        <v>#REF!</v>
      </c>
      <c r="N12" t="e">
        <f>IF(Monitorios="SI",Datos!CF12,0)</f>
        <v>#REF!</v>
      </c>
      <c r="O12" t="e">
        <f>IF(Monitorios="SI",Datos!CG12,0)</f>
        <v>#REF!</v>
      </c>
      <c r="P12" t="e">
        <f>IF(Monitorios="SI",Datos!CH12,0)</f>
        <v>#REF!</v>
      </c>
      <c r="Q12">
        <f>IF(J_V="SI",0,Datos!AG12)</f>
        <v>11</v>
      </c>
      <c r="R12">
        <f>IF(J_V="SI",0,Datos!AH12)</f>
        <v>32</v>
      </c>
      <c r="S12">
        <f>IF(J_V="SI",0,Datos!AI12)</f>
        <v>35</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-0.29807692307692307</v>
      </c>
      <c r="I14" s="402">
        <f>IF(ISNUMBER((Tasas!C14-Datos!BE14)/Datos!BE14),(Tasas!C14-Datos!BE14)/Datos!BE14," - ")</f>
        <v>1.5565470014525835</v>
      </c>
      <c r="J14" s="400">
        <f>IF(ISNUMBER((Tasas!D14-Datos!BF14)/Datos!BF14),(Tasas!D14-Datos!BF14)/Datos!BF14," - ")</f>
        <v>-0.27396021699819162</v>
      </c>
      <c r="K14" s="403">
        <f>IF(ISNUMBER((Tasas!E14-Datos!BG14)/Datos!BG14),(Tasas!E14-Datos!BG14)/Datos!BG14," - ")</f>
        <v>0.66211502043257253</v>
      </c>
      <c r="M14" t="e">
        <f>IF(Monitorios="SI",Datos!CE14,0)</f>
        <v>#REF!</v>
      </c>
      <c r="N14" t="e">
        <f>IF(Monitorios="SI",Datos!CF14,0)</f>
        <v>#REF!</v>
      </c>
      <c r="O14" t="e">
        <f>IF(Monitorios="SI",Datos!CG14,0)</f>
        <v>#REF!</v>
      </c>
      <c r="P14" t="e">
        <f>IF(Monitorios="SI",Datos!CH14,0)</f>
        <v>#REF!</v>
      </c>
      <c r="Q14">
        <f>IF(J_V="SI",0,Datos!AG14)</f>
        <v>11</v>
      </c>
      <c r="R14">
        <f>IF(J_V="SI",0,Datos!AH14)</f>
        <v>32</v>
      </c>
      <c r="S14">
        <f>IF(J_V="SI",0,Datos!AI14)</f>
        <v>35</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-0.43438914027149322</v>
      </c>
      <c r="E17" s="393">
        <f>IF(ISNUMBER(
   IF(D_I="SI",(Datos!J17-Datos!T17)/Datos!T17,(Datos!J17+Datos!AD17-(Datos!T17+Datos!AL17))/(Datos!T17+Datos!AL17))
     ),IF(D_I="SI",(Datos!J17-Datos!T17)/Datos!T17,(Datos!J17+Datos!AD17-(Datos!T17+Datos!AL17))/(Datos!T17+Datos!AL17))," - ")</f>
        <v>9.6385542168674704E-2</v>
      </c>
      <c r="F17" s="393">
        <f>IF(ISNUMBER(
   IF(D_I="SI",(Datos!K17-Datos!U17)/Datos!U17,(Datos!K17+Datos!AE17-(Datos!U17+Datos!AM17))/(Datos!U17+Datos!AM17))
     ),IF(D_I="SI",(Datos!K17-Datos!U17)/Datos!U17,(Datos!K17+Datos!AE17-(Datos!U17+Datos!AM17))/(Datos!U17+Datos!AM17))," - ")</f>
        <v>0.10518292682926829</v>
      </c>
      <c r="G17" s="394">
        <f>IF(ISNUMBER(
   IF(D_I="SI",(Datos!L17-Datos!V17)/Datos!V17,(Datos!L17+Datos!AF17-(Datos!V17+Datos!AN17))/(Datos!V17+Datos!AN17))
     ),IF(D_I="SI",(Datos!L17-Datos!V17)/Datos!V17,(Datos!L17+Datos!AF17-(Datos!V17+Datos!AN17))/(Datos!V17+Datos!AN17))," - ")</f>
        <v>0.112</v>
      </c>
      <c r="H17" s="244">
        <f>IF(ISNUMBER((Datos!M17-Datos!W17)/Datos!W17),(Datos!M17-Datos!W17)/Datos!W17," - ")</f>
        <v>-3.8461538461538464E-2</v>
      </c>
      <c r="I17" s="395">
        <f>IF(ISNUMBER((Tasas!C17-Datos!BE17)/Datos!BE17),(Tasas!C17-Datos!BE17)/Datos!BE17," - ")</f>
        <v>6.1682758620689813E-3</v>
      </c>
      <c r="J17" s="394">
        <f>IF(ISNUMBER((Tasas!D17-Datos!BF17)/Datos!BF17),(Tasas!D17-Datos!BF17)/Datos!BF17," - ")</f>
        <v>-0.12997347480106097</v>
      </c>
      <c r="K17" s="396">
        <f>IF(ISNUMBER((Tasas!E17-Datos!BG17)/Datos!BG17),(Tasas!E17-Datos!BG17)/Datos!BG17," - ")</f>
        <v>-0.12788934346386127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-6.25E-2</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0.45945945945945948</v>
      </c>
      <c r="G18" s="394">
        <f>IF(ISNUMBER(
   IF(D_I="SI",(Datos!L18-Datos!V18)/Datos!V18,(Datos!L18+Datos!AF18-(Datos!V18+Datos!AN18))/(Datos!V18+Datos!AN18))
     ),IF(D_I="SI",(Datos!L18-Datos!V18)/Datos!V18,(Datos!L18+Datos!AF18-(Datos!V18+Datos!AN18))/(Datos!V18+Datos!AN18))," - ")</f>
        <v>-0.46666666666666667</v>
      </c>
      <c r="H18" s="244">
        <f>IF(ISNUMBER((Datos!M18-Datos!W18)/Datos!W18),(Datos!M18-Datos!W18)/Datos!W18," - ")</f>
        <v>1</v>
      </c>
      <c r="I18" s="395">
        <f>IF(ISNUMBER((Tasas!C18-Datos!BE18)/Datos!BE18),(Tasas!C18-Datos!BE18)/Datos!BE18," - ")</f>
        <v>-0.63456790123456797</v>
      </c>
      <c r="J18" s="394">
        <f>IF(ISNUMBER((Tasas!D18-Datos!BF18)/Datos!BF18),(Tasas!D18-Datos!BF18)/Datos!BF18," - ")</f>
        <v>0.37037037037037024</v>
      </c>
      <c r="K18" s="396">
        <f>IF(ISNUMBER((Tasas!E18-Datos!BG18)/Datos!BG18),(Tasas!E18-Datos!BG18)/Datos!BG18," - ")</f>
        <v>-0.3576388888888889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-0.40928270042194093</v>
      </c>
      <c r="E23" s="399">
        <f>IF(ISNUMBER(
   IF(D_I="SI",(Datos!J23-Datos!T23)/Datos!T23,(Datos!J23+Datos!AD23-(Datos!T23+Datos!AL23))/(Datos!T23+Datos!AL23))
     ),IF(D_I="SI",(Datos!J23-Datos!T23)/Datos!T23,(Datos!J23+Datos!AD23-(Datos!T23+Datos!AL23))/(Datos!T23+Datos!AL23))," - ")</f>
        <v>8.5674157303370788E-2</v>
      </c>
      <c r="F23" s="399">
        <f>IF(ISNUMBER(
   IF(D_I="SI",(Datos!K23-Datos!U23)/Datos!U23,(Datos!K23+Datos!AE23-(Datos!U23+Datos!AM23))/(Datos!U23+Datos!AM23))
     ),IF(D_I="SI",(Datos!K23-Datos!U23)/Datos!U23,(Datos!K23+Datos!AE23-(Datos!U23+Datos!AM23))/(Datos!U23+Datos!AM23))," - ")</f>
        <v>0.1240981240981241</v>
      </c>
      <c r="G23" s="400">
        <f>IF(ISNUMBER(
   IF(D_I="SI",(Datos!L23-Datos!V23)/Datos!V23,(Datos!L23+Datos!AF23-(Datos!V23+Datos!AN23))/(Datos!V23+Datos!AN23))
     ),IF(D_I="SI",(Datos!L23-Datos!V23)/Datos!V23,(Datos!L23+Datos!AF23-(Datos!V23+Datos!AN23))/(Datos!V23+Datos!AN23))," - ")</f>
        <v>0.05</v>
      </c>
      <c r="H23" s="401">
        <f>IF(ISNUMBER((Datos!M23-Datos!W23)/Datos!W23),(Datos!M23-Datos!W23)/Datos!W23," - ")</f>
        <v>0</v>
      </c>
      <c r="I23" s="402">
        <f>IF(ISNUMBER((Tasas!C23-Datos!BE23)/Datos!BE23),(Tasas!C23-Datos!BE23)/Datos!BE23," - ")</f>
        <v>-6.5917843388960146E-2</v>
      </c>
      <c r="J23" s="400">
        <f>IF(ISNUMBER((Tasas!D23-Datos!BF23)/Datos!BF23),(Tasas!D23-Datos!BF23)/Datos!BF23," - ")</f>
        <v>-0.11039794608472399</v>
      </c>
      <c r="K23" s="403">
        <f>IF(ISNUMBER((Tasas!E23-Datos!BG23)/Datos!BG23),(Tasas!E23-Datos!BG23)/Datos!BG23," - ")</f>
        <v>-0.14414470471586205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-0.19327731092436976</v>
      </c>
      <c r="E31" s="409">
        <f>IF(ISNUMBER(
   IF(J_V="SI",(Datos!J31-Datos!T31)/Datos!T31,(Datos!J31+Datos!Z31-(Datos!T31+Datos!AH31))/(Datos!T31+Datos!AH31))
     ),IF(J_V="SI",(Datos!J31-Datos!T31)/Datos!T31,(Datos!J31+Datos!Z31-(Datos!T31+Datos!AH31))/(Datos!T31+Datos!AH31))," - ")</f>
        <v>0.1615523465703971</v>
      </c>
      <c r="F31" s="409">
        <f>IF(ISNUMBER(
   IF(J_V="SI",(Datos!K31-Datos!U31)/Datos!U31,(Datos!K31+Datos!AA31-(Datos!U31+Datos!AI31))/(Datos!U31+Datos!AI31))
     ),IF(J_V="SI",(Datos!K31-Datos!U31)/Datos!U31,(Datos!K31+Datos!AA31-(Datos!U31+Datos!AI31))/(Datos!U31+Datos!AI31))," - ")</f>
        <v>-3.3539276257722857E-2</v>
      </c>
      <c r="G31" s="410">
        <f>IF(ISNUMBER(
   IF(J_V="SI",(Datos!L31-Datos!V31)/Datos!V31,(Datos!L31+Datos!AB31-(Datos!V31+Datos!AJ31))/(Datos!V31+Datos!AJ31))
     ),IF(J_V="SI",(Datos!L31-Datos!V31)/Datos!V31,(Datos!L31+Datos!AB31-(Datos!V31+Datos!AJ31))/(Datos!V31+Datos!AJ31))," - ")</f>
        <v>0.54947916666666663</v>
      </c>
      <c r="H31" s="411">
        <f>IF(ISNUMBER((Datos!M31-Datos!W31)/Datos!W31),(Datos!M31-Datos!W31)/Datos!W31," - ")</f>
        <v>-0.16756756756756758</v>
      </c>
      <c r="I31" s="408">
        <f>IF(ISNUMBER((Tasas!C31-Datos!BE31)/Datos!BE31),(Tasas!C31-Datos!BE31)/Datos!BE31," - ")</f>
        <v>0.60325104642313543</v>
      </c>
      <c r="J31" s="409">
        <f>IF(ISNUMBER((Tasas!D31-Datos!BF31)/Datos!BF31),(Tasas!D31-Datos!BF31)/Datos!BF31," - ")</f>
        <v>-0.27898510299799584</v>
      </c>
      <c r="K31" s="410">
        <f>IF(ISNUMBER((Tasas!E31-Datos!BG31)/Datos!BG31),(Tasas!E31-Datos!BG31)/Datos!BG31," - ")</f>
        <v>9.1533485540334858E-2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0.3880462740822434</v>
      </c>
      <c r="E33" s="303">
        <f t="shared" si="1"/>
        <v>8.8802149156172294E-2</v>
      </c>
      <c r="F33" s="303">
        <f t="shared" si="1"/>
        <v>0.1993058251011616</v>
      </c>
      <c r="G33" s="304">
        <f t="shared" si="1"/>
        <v>0.31771149269831678</v>
      </c>
      <c r="H33" s="310">
        <f t="shared" si="1"/>
        <v>0.53676759650962713</v>
      </c>
      <c r="I33" s="302">
        <f t="shared" si="1"/>
        <v>1.0087644540233811</v>
      </c>
      <c r="J33" s="303">
        <f t="shared" si="1"/>
        <v>0.2652507066210929</v>
      </c>
      <c r="K33" s="304">
        <f t="shared" si="1"/>
        <v>0.48911576882235325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eKdAioxC/J1PlMhcyFSi1szQWu+vJCVyEL31h2aB+qEkqgS4uXv/5oF3H/WN077qYMlRIOZA3zT1LANY1Am2g==" saltValue="b405Lcy6QD1Fcr5W6PaRo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